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 tabRatio="785" firstSheet="1" activeTab="1"/>
  </bookViews>
  <sheets>
    <sheet name="工资调整预算明细表" sheetId="11" state="hidden" r:id="rId1"/>
    <sheet name="Sheet3" sheetId="16" r:id="rId2"/>
    <sheet name="Sheet4" sheetId="17" r:id="rId3"/>
    <sheet name="Sheet2" sheetId="15" state="hidden" r:id="rId4"/>
    <sheet name="Sheet1" sheetId="13" state="hidden" r:id="rId5"/>
  </sheets>
  <externalReferences>
    <externalReference r:id="rId6"/>
  </externalReferences>
  <definedNames>
    <definedName name="_xlnm.Print_Area" localSheetId="0">工资调整预算明细表!$A$1:$AB$24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不买五险一金
2021年5月缴纳社保公积金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不买五险一金
2021年5月缴纳社保公积金 </t>
        </r>
      </text>
    </comment>
  </commentList>
</comments>
</file>

<file path=xl/sharedStrings.xml><?xml version="1.0" encoding="utf-8"?>
<sst xmlns="http://schemas.openxmlformats.org/spreadsheetml/2006/main" count="252" uniqueCount="113">
  <si>
    <t>中共三亚市吉阳区委办公室政府购买服务18人测算表</t>
  </si>
  <si>
    <t>序号</t>
  </si>
  <si>
    <t>姓名</t>
  </si>
  <si>
    <t>时间</t>
  </si>
  <si>
    <t>基本工资</t>
  </si>
  <si>
    <t>工资调整部分</t>
  </si>
  <si>
    <t>考勤奖</t>
  </si>
  <si>
    <t>季度奖</t>
  </si>
  <si>
    <t>高温补贴</t>
  </si>
  <si>
    <t>应发合计</t>
  </si>
  <si>
    <t>社保基数</t>
  </si>
  <si>
    <t>公积金基数</t>
  </si>
  <si>
    <t>个人部分</t>
  </si>
  <si>
    <t>单位部分</t>
  </si>
  <si>
    <t>应交个税</t>
  </si>
  <si>
    <t>实发合计</t>
  </si>
  <si>
    <t>工会经费</t>
  </si>
  <si>
    <t>管理费6%</t>
  </si>
  <si>
    <t>员工成本合计/人/月</t>
  </si>
  <si>
    <t>员工成本合计/人/年</t>
  </si>
  <si>
    <t>管理费/年</t>
  </si>
  <si>
    <t>养老8%</t>
  </si>
  <si>
    <t>医疗2%</t>
  </si>
  <si>
    <t>失业   0.5%</t>
  </si>
  <si>
    <t>公积金5%</t>
  </si>
  <si>
    <t>个人扣款合计</t>
  </si>
  <si>
    <t>养老16%</t>
  </si>
  <si>
    <t>医疗8.5%</t>
  </si>
  <si>
    <t>失业0.5%</t>
  </si>
  <si>
    <t>工伤0.2%</t>
  </si>
  <si>
    <t>单位扣款合计</t>
  </si>
  <si>
    <t>翚巍</t>
  </si>
  <si>
    <t>2022年1月-12月</t>
  </si>
  <si>
    <t>凌仲坤</t>
  </si>
  <si>
    <t>凌婕</t>
  </si>
  <si>
    <t>傅琴</t>
  </si>
  <si>
    <t>符子臣</t>
  </si>
  <si>
    <t>苏鹏</t>
  </si>
  <si>
    <t>王三品</t>
  </si>
  <si>
    <t>李锐</t>
  </si>
  <si>
    <t>符发宁</t>
  </si>
  <si>
    <t>符斌</t>
  </si>
  <si>
    <t>贾佳</t>
  </si>
  <si>
    <t>严冲</t>
  </si>
  <si>
    <t>陈建平</t>
  </si>
  <si>
    <t>闫石磊</t>
  </si>
  <si>
    <t>郑博文</t>
  </si>
  <si>
    <t>郑奇贤</t>
  </si>
  <si>
    <t>A</t>
  </si>
  <si>
    <t>B</t>
  </si>
  <si>
    <t>合计：</t>
  </si>
  <si>
    <t>备注：4月-10月高温补贴300元/人/月，合计2100元/人/年。平摊至12个月高温补贴为175元/人/月。
      因国家政策，从2021年1月起全海南省社保最低基数由3669.60调整为3925.80</t>
  </si>
  <si>
    <t>海南热带海洋学院崖州湾创新研究院人员笔试及面试成绩</t>
  </si>
  <si>
    <t>身份证号后六位</t>
  </si>
  <si>
    <t>性别</t>
  </si>
  <si>
    <t>报考岗位</t>
  </si>
  <si>
    <t>笔试成绩</t>
  </si>
  <si>
    <t>面试成绩</t>
  </si>
  <si>
    <t>笔试成绩50%</t>
  </si>
  <si>
    <t>面试成绩50%</t>
  </si>
  <si>
    <t>综合成绩</t>
  </si>
  <si>
    <t>刘婧丹</t>
  </si>
  <si>
    <t>266921</t>
  </si>
  <si>
    <t>女</t>
  </si>
  <si>
    <t>综合管理岗</t>
  </si>
  <si>
    <t>张舒</t>
  </si>
  <si>
    <t>310346</t>
  </si>
  <si>
    <t>黄小雪</t>
  </si>
  <si>
    <t>103322</t>
  </si>
  <si>
    <t>赵阳</t>
  </si>
  <si>
    <t>090329</t>
  </si>
  <si>
    <t>白洋</t>
  </si>
  <si>
    <t>033512</t>
  </si>
  <si>
    <t>男</t>
  </si>
  <si>
    <t>安娜</t>
  </si>
  <si>
    <t>240622</t>
  </si>
  <si>
    <t>庞淳尹</t>
  </si>
  <si>
    <t>021454</t>
  </si>
  <si>
    <t>王娜</t>
  </si>
  <si>
    <t>200043</t>
  </si>
  <si>
    <t>科研管理岗</t>
  </si>
  <si>
    <t>张琳晓</t>
  </si>
  <si>
    <t>285820</t>
  </si>
  <si>
    <t>吴燕亭</t>
  </si>
  <si>
    <t>232225</t>
  </si>
  <si>
    <t>王昊斐</t>
  </si>
  <si>
    <t>140044</t>
  </si>
  <si>
    <t>苏传慧</t>
  </si>
  <si>
    <t>253415</t>
  </si>
  <si>
    <t>周颖</t>
  </si>
  <si>
    <t>210025</t>
  </si>
  <si>
    <t>许昌珍</t>
  </si>
  <si>
    <t>080024</t>
  </si>
  <si>
    <t>工资调整</t>
  </si>
  <si>
    <t>工资未调整</t>
  </si>
  <si>
    <t>中共三亚市吉阳区委办公室政府购买服务38人测算表</t>
  </si>
  <si>
    <t>人数</t>
  </si>
  <si>
    <t>交通补贴</t>
  </si>
  <si>
    <t>残疾人保障金</t>
  </si>
  <si>
    <t>日常管理费（1.28%）</t>
  </si>
  <si>
    <t>风险管理费（8%）</t>
  </si>
  <si>
    <t>税费（6.72%）</t>
  </si>
  <si>
    <t>养老    8%</t>
  </si>
  <si>
    <t>医疗    2%</t>
  </si>
  <si>
    <t>公积金  5%</t>
  </si>
  <si>
    <t>个人    扣款合计</t>
  </si>
  <si>
    <t>养老   16%</t>
  </si>
  <si>
    <t>医疗  8.5%</t>
  </si>
  <si>
    <t>失业  0.5%</t>
  </si>
  <si>
    <t>工伤  0.2%</t>
  </si>
  <si>
    <t>单位    扣款合计</t>
  </si>
  <si>
    <t>中共三亚市吉阳区委办公室1月-12月</t>
  </si>
  <si>
    <t>备注：4月-10月高温补贴300元/人/月，合计2100元/人/年。平摊至12个月高温补贴为175元/人/月。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</si>
</sst>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5" formatCode="&quot;￥&quot;#,##0;&quot;￥&quot;\-#,##0"/>
    <numFmt numFmtId="177" formatCode="0_);[Red]\(0\)"/>
    <numFmt numFmtId="178" formatCode="0_ "/>
  </numFmts>
  <fonts count="5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Arial Unicode MS"/>
      <charset val="134"/>
    </font>
    <font>
      <b/>
      <sz val="9"/>
      <color indexed="8"/>
      <name val="Arial Unicode MS"/>
      <charset val="134"/>
    </font>
    <font>
      <b/>
      <sz val="10"/>
      <name val="Arial Unicode MS"/>
      <charset val="134"/>
    </font>
    <font>
      <b/>
      <sz val="10"/>
      <color indexed="8"/>
      <name val="Arial Unicode MS"/>
      <charset val="134"/>
    </font>
    <font>
      <sz val="9"/>
      <color indexed="8"/>
      <name val="Arial Unicode MS"/>
      <charset val="134"/>
    </font>
    <font>
      <sz val="10"/>
      <color rgb="FF000000"/>
      <name val="Arial Unicode MS"/>
      <charset val="134"/>
    </font>
    <font>
      <sz val="10"/>
      <color indexed="8"/>
      <name val="Arial Unicode MS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rgb="FFFF0000"/>
      <name val="Arial Unicode MS"/>
      <charset val="134"/>
    </font>
    <font>
      <sz val="10"/>
      <name val="Arial Unicode MS"/>
      <charset val="134"/>
    </font>
    <font>
      <b/>
      <sz val="12"/>
      <color theme="1"/>
      <name val="宋体"/>
      <charset val="134"/>
      <scheme val="minor"/>
    </font>
    <font>
      <b/>
      <sz val="12"/>
      <color rgb="FF555555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Arial Unicode MS"/>
      <charset val="134"/>
    </font>
    <font>
      <b/>
      <sz val="11"/>
      <color indexed="8"/>
      <name val="Arial Unicode MS"/>
      <charset val="134"/>
    </font>
    <font>
      <b/>
      <sz val="11"/>
      <name val="Arial Unicode MS"/>
      <charset val="134"/>
    </font>
    <font>
      <b/>
      <sz val="16"/>
      <color rgb="FF000000"/>
      <name val="宋体"/>
      <charset val="134"/>
    </font>
    <font>
      <b/>
      <sz val="16"/>
      <color rgb="FF000000"/>
      <name val="Arial Unicode MS"/>
      <charset val="134"/>
    </font>
    <font>
      <b/>
      <sz val="16"/>
      <color indexed="8"/>
      <name val="Arial Unicode MS"/>
      <charset val="134"/>
    </font>
    <font>
      <b/>
      <sz val="1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rgb="FF000000"/>
      <name val="宋体"/>
      <charset val="134"/>
      <scheme val="minor"/>
    </font>
    <font>
      <b/>
      <sz val="16"/>
      <color rgb="FFFF0000"/>
      <name val="Arial Unicode MS"/>
      <charset val="134"/>
    </font>
    <font>
      <b/>
      <sz val="16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18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12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5" fontId="0" fillId="0" borderId="0" applyFont="0" applyFill="0" applyBorder="0" applyAlignment="0" applyProtection="0"/>
    <xf numFmtId="0" fontId="18" fillId="18" borderId="17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0" fillId="0" borderId="0"/>
    <xf numFmtId="0" fontId="46" fillId="0" borderId="19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7" fillId="14" borderId="16" applyNumberFormat="0" applyAlignment="0" applyProtection="0">
      <alignment vertical="center"/>
    </xf>
    <xf numFmtId="0" fontId="48" fillId="14" borderId="15" applyNumberFormat="0" applyAlignment="0" applyProtection="0">
      <alignment vertical="center"/>
    </xf>
    <xf numFmtId="0" fontId="47" fillId="26" borderId="20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0" fillId="0" borderId="0">
      <protection locked="0"/>
    </xf>
    <xf numFmtId="0" fontId="31" fillId="1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33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>
      <protection locked="0"/>
    </xf>
  </cellStyleXfs>
  <cellXfs count="97">
    <xf numFmtId="0" fontId="0" fillId="0" borderId="0" xfId="0"/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0" fillId="4" borderId="3" xfId="0" applyNumberFormat="1" applyFont="1" applyFill="1" applyBorder="1" applyAlignment="1">
      <alignment vertical="center"/>
    </xf>
    <xf numFmtId="176" fontId="8" fillId="4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shrinkToFit="1"/>
    </xf>
    <xf numFmtId="176" fontId="12" fillId="3" borderId="3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 shrinkToFit="1"/>
    </xf>
    <xf numFmtId="176" fontId="14" fillId="4" borderId="3" xfId="0" applyNumberFormat="1" applyFont="1" applyFill="1" applyBorder="1" applyAlignment="1">
      <alignment horizontal="center" vertical="center" wrapText="1"/>
    </xf>
    <xf numFmtId="176" fontId="12" fillId="4" borderId="3" xfId="0" applyNumberFormat="1" applyFont="1" applyFill="1" applyBorder="1" applyAlignment="1">
      <alignment horizontal="center" vertical="center" wrapText="1"/>
    </xf>
    <xf numFmtId="176" fontId="13" fillId="4" borderId="3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5" fillId="3" borderId="3" xfId="0" applyNumberFormat="1" applyFont="1" applyFill="1" applyBorder="1" applyAlignment="1">
      <alignment horizontal="center" vertical="center" wrapText="1"/>
    </xf>
    <xf numFmtId="176" fontId="15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/>
    </xf>
    <xf numFmtId="49" fontId="18" fillId="5" borderId="3" xfId="0" applyNumberFormat="1" applyFont="1" applyFill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49" fontId="18" fillId="5" borderId="11" xfId="0" applyNumberFormat="1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49" fontId="18" fillId="5" borderId="8" xfId="0" applyNumberFormat="1" applyFont="1" applyFill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43" fontId="20" fillId="0" borderId="0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>
      <alignment horizontal="center" vertical="center" wrapText="1"/>
    </xf>
    <xf numFmtId="176" fontId="21" fillId="0" borderId="4" xfId="0" applyNumberFormat="1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 wrapText="1"/>
    </xf>
    <xf numFmtId="43" fontId="22" fillId="0" borderId="2" xfId="0" applyNumberFormat="1" applyFont="1" applyFill="1" applyBorder="1" applyAlignment="1">
      <alignment horizontal="center" vertical="center" wrapText="1"/>
    </xf>
    <xf numFmtId="176" fontId="21" fillId="0" borderId="5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center" vertical="center"/>
    </xf>
    <xf numFmtId="178" fontId="24" fillId="0" borderId="3" xfId="0" applyNumberFormat="1" applyFont="1" applyFill="1" applyBorder="1" applyAlignment="1">
      <alignment horizontal="center" vertical="center"/>
    </xf>
    <xf numFmtId="176" fontId="2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78" fontId="25" fillId="0" borderId="3" xfId="0" applyNumberFormat="1" applyFont="1" applyFill="1" applyBorder="1" applyAlignment="1">
      <alignment horizontal="center" vertical="center" wrapText="1"/>
    </xf>
    <xf numFmtId="176" fontId="27" fillId="0" borderId="3" xfId="0" applyNumberFormat="1" applyFont="1" applyFill="1" applyBorder="1" applyAlignment="1">
      <alignment horizontal="center" vertical="center" wrapText="1"/>
    </xf>
    <xf numFmtId="176" fontId="28" fillId="0" borderId="3" xfId="0" applyNumberFormat="1" applyFont="1" applyFill="1" applyBorder="1" applyAlignment="1">
      <alignment horizontal="center" vertical="center" shrinkToFit="1"/>
    </xf>
    <xf numFmtId="176" fontId="29" fillId="0" borderId="3" xfId="0" applyNumberFormat="1" applyFont="1" applyFill="1" applyBorder="1" applyAlignment="1">
      <alignment horizontal="center" vertical="center" wrapText="1"/>
    </xf>
    <xf numFmtId="176" fontId="21" fillId="0" borderId="3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176" fontId="26" fillId="0" borderId="3" xfId="0" applyNumberFormat="1" applyFont="1" applyFill="1" applyBorder="1" applyAlignment="1">
      <alignment horizontal="center" vertical="center" wrapText="1"/>
    </xf>
    <xf numFmtId="176" fontId="26" fillId="0" borderId="5" xfId="0" applyNumberFormat="1" applyFont="1" applyFill="1" applyBorder="1" applyAlignment="1">
      <alignment horizontal="center" vertical="center" wrapText="1"/>
    </xf>
    <xf numFmtId="176" fontId="30" fillId="0" borderId="3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千位分隔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2_工资范本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 16" xfId="53"/>
    <cellStyle name="常规 17" xfId="54"/>
    <cellStyle name="常规 15" xfId="55"/>
    <cellStyle name="常规 13" xfId="56"/>
    <cellStyle name="常规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31;&#65288;&#24050;&#31163;&#32844;&#65289;\&#22806;&#21253;\3&#29992;&#24037;&#21333;&#20301;&#65288;&#22806;&#21253;&#65289;\5.&#20013;&#20849;&#19977;&#20122;&#24066;&#21513;&#38451;&#21306;&#22996;&#21150;&#20844;&#23460;-&#27425;&#26376;15&#26085;-&#35060;&#21490;&#25935;13697542336\&#34218;&#36164;\&#24037;&#36164;&#34920;\2021&#24180;\11&#26376;\&#21513;&#38451;&#21306;&#27494;&#35013;&#37096;11&#26376;&#24037;&#36164;&#26126;&#32454;&#34920;&#65288;20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务流程表  (14人) "/>
      <sheetName val="11月工资14人"/>
      <sheetName val="12月四险一金8人"/>
      <sheetName val="财务流程表  (司机)"/>
      <sheetName val="11月司机工资"/>
      <sheetName val="司机11月四险一金"/>
      <sheetName val="财务流程表 （总表）"/>
      <sheetName val="11月工资20人"/>
      <sheetName val="12月四险一金14人"/>
      <sheetName val="2月四险一金12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姓名</v>
          </cell>
          <cell r="C2" t="str">
            <v>养老缴费基数 </v>
          </cell>
          <cell r="D2" t="str">
            <v>医/工/生/失基数</v>
          </cell>
          <cell r="E2" t="str">
            <v>公积金基数</v>
          </cell>
        </row>
        <row r="4">
          <cell r="B4" t="str">
            <v>符子臣</v>
          </cell>
          <cell r="C4">
            <v>3925.8</v>
          </cell>
          <cell r="D4">
            <v>3925.8</v>
          </cell>
          <cell r="E4">
            <v>3000</v>
          </cell>
        </row>
        <row r="5">
          <cell r="B5" t="str">
            <v>苏鹏</v>
          </cell>
          <cell r="C5">
            <v>3925.8</v>
          </cell>
          <cell r="D5">
            <v>3925.8</v>
          </cell>
          <cell r="E5">
            <v>3000</v>
          </cell>
        </row>
        <row r="6">
          <cell r="B6" t="str">
            <v>翚巍</v>
          </cell>
          <cell r="C6">
            <v>5000</v>
          </cell>
          <cell r="D6">
            <v>5000</v>
          </cell>
          <cell r="E6">
            <v>3000</v>
          </cell>
        </row>
        <row r="7">
          <cell r="B7" t="str">
            <v>凌仲坤</v>
          </cell>
          <cell r="C7">
            <v>5000</v>
          </cell>
          <cell r="D7">
            <v>5000</v>
          </cell>
          <cell r="E7">
            <v>3000</v>
          </cell>
        </row>
        <row r="8">
          <cell r="B8" t="str">
            <v>凌婕</v>
          </cell>
          <cell r="C8">
            <v>5000</v>
          </cell>
          <cell r="D8">
            <v>5000</v>
          </cell>
          <cell r="E8">
            <v>3000</v>
          </cell>
        </row>
        <row r="9">
          <cell r="B9" t="str">
            <v>傅琴</v>
          </cell>
          <cell r="C9">
            <v>3925.8</v>
          </cell>
          <cell r="D9">
            <v>3925.8</v>
          </cell>
          <cell r="E9">
            <v>3000</v>
          </cell>
        </row>
        <row r="10">
          <cell r="B10" t="str">
            <v>郑奇贤</v>
          </cell>
          <cell r="C10">
            <v>3925.8</v>
          </cell>
          <cell r="D10">
            <v>3925.8</v>
          </cell>
          <cell r="E10">
            <v>1680</v>
          </cell>
        </row>
        <row r="11">
          <cell r="B11" t="str">
            <v>王三品</v>
          </cell>
          <cell r="C11">
            <v>3925.8</v>
          </cell>
          <cell r="D11">
            <v>3925.8</v>
          </cell>
          <cell r="E11">
            <v>1680</v>
          </cell>
        </row>
        <row r="12">
          <cell r="B12" t="str">
            <v>李锐</v>
          </cell>
          <cell r="C12">
            <v>3925.8</v>
          </cell>
          <cell r="D12">
            <v>3925.8</v>
          </cell>
          <cell r="E12">
            <v>1680</v>
          </cell>
        </row>
        <row r="13">
          <cell r="B13" t="str">
            <v>符发宁</v>
          </cell>
          <cell r="C13">
            <v>3925.8</v>
          </cell>
          <cell r="D13">
            <v>3925.8</v>
          </cell>
          <cell r="E13">
            <v>1680</v>
          </cell>
        </row>
        <row r="14">
          <cell r="B14" t="str">
            <v>符斌</v>
          </cell>
          <cell r="C14">
            <v>3925.8</v>
          </cell>
          <cell r="D14">
            <v>3925.8</v>
          </cell>
          <cell r="E14">
            <v>1680</v>
          </cell>
        </row>
        <row r="15">
          <cell r="B15" t="str">
            <v>贾佳</v>
          </cell>
          <cell r="C15">
            <v>3925.8</v>
          </cell>
          <cell r="D15">
            <v>3925.8</v>
          </cell>
          <cell r="E15">
            <v>1680</v>
          </cell>
        </row>
        <row r="16">
          <cell r="B16" t="str">
            <v>郑博文</v>
          </cell>
          <cell r="C16">
            <v>3925.8</v>
          </cell>
          <cell r="D16">
            <v>3925.8</v>
          </cell>
          <cell r="E16">
            <v>1680</v>
          </cell>
        </row>
        <row r="17">
          <cell r="B17" t="str">
            <v>严冲</v>
          </cell>
          <cell r="C17">
            <v>3925.8</v>
          </cell>
          <cell r="D17">
            <v>3925.8</v>
          </cell>
          <cell r="E17">
            <v>1680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4"/>
  <sheetViews>
    <sheetView view="pageBreakPreview" zoomScale="55" zoomScaleNormal="85" workbookViewId="0">
      <pane xSplit="2" ySplit="3" topLeftCell="G16" activePane="bottomRight" state="frozen"/>
      <selection/>
      <selection pane="topRight"/>
      <selection pane="bottomLeft"/>
      <selection pane="bottomRight" activeCell="AB24" sqref="AB24"/>
    </sheetView>
  </sheetViews>
  <sheetFormatPr defaultColWidth="9" defaultRowHeight="13.5"/>
  <cols>
    <col min="1" max="1" width="9" style="3"/>
    <col min="2" max="2" width="12.2666666666667" style="3" customWidth="1"/>
    <col min="3" max="3" width="23.25" style="3" customWidth="1"/>
    <col min="4" max="4" width="15.75" style="3" customWidth="1"/>
    <col min="5" max="8" width="14" style="3" customWidth="1"/>
    <col min="9" max="9" width="15.75" style="3"/>
    <col min="10" max="10" width="14" style="3"/>
    <col min="11" max="13" width="14" style="3" customWidth="1"/>
    <col min="14" max="14" width="12.375" style="3" customWidth="1"/>
    <col min="15" max="16" width="14" style="3" customWidth="1"/>
    <col min="17" max="17" width="15.75" style="3" customWidth="1"/>
    <col min="18" max="18" width="14" style="3" customWidth="1"/>
    <col min="19" max="20" width="12.375" style="3" customWidth="1"/>
    <col min="21" max="21" width="14" style="3" customWidth="1"/>
    <col min="22" max="22" width="15.75" style="3" customWidth="1"/>
    <col min="23" max="23" width="9.125" style="3"/>
    <col min="24" max="24" width="15.75" style="3"/>
    <col min="25" max="25" width="14" style="3"/>
    <col min="26" max="26" width="14" style="3" customWidth="1"/>
    <col min="27" max="27" width="18.875" style="3" customWidth="1"/>
    <col min="28" max="28" width="19" style="3" customWidth="1"/>
    <col min="29" max="29" width="9" style="3"/>
    <col min="30" max="30" width="14.0916666666667" style="3" customWidth="1"/>
    <col min="31" max="16384" width="9" style="3"/>
  </cols>
  <sheetData>
    <row r="1" s="1" customFormat="1" ht="42" customHeight="1" spans="1:28">
      <c r="A1" s="71" t="s">
        <v>0</v>
      </c>
      <c r="B1" s="71"/>
      <c r="C1" s="71"/>
      <c r="D1" s="71"/>
      <c r="E1" s="71"/>
      <c r="F1" s="71"/>
      <c r="G1" s="71"/>
      <c r="H1" s="7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="1" customFormat="1" ht="34" customHeight="1" spans="1:30">
      <c r="A2" s="72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4" t="s">
        <v>7</v>
      </c>
      <c r="H2" s="73" t="s">
        <v>8</v>
      </c>
      <c r="I2" s="83" t="s">
        <v>9</v>
      </c>
      <c r="J2" s="84" t="s">
        <v>10</v>
      </c>
      <c r="K2" s="84" t="s">
        <v>11</v>
      </c>
      <c r="L2" s="85" t="s">
        <v>12</v>
      </c>
      <c r="M2" s="85"/>
      <c r="N2" s="85"/>
      <c r="O2" s="85"/>
      <c r="P2" s="85"/>
      <c r="Q2" s="85" t="s">
        <v>13</v>
      </c>
      <c r="R2" s="85"/>
      <c r="S2" s="85"/>
      <c r="T2" s="85"/>
      <c r="U2" s="85"/>
      <c r="V2" s="85"/>
      <c r="W2" s="92" t="s">
        <v>14</v>
      </c>
      <c r="X2" s="74" t="s">
        <v>15</v>
      </c>
      <c r="Y2" s="74" t="s">
        <v>16</v>
      </c>
      <c r="Z2" s="74" t="s">
        <v>17</v>
      </c>
      <c r="AA2" s="93" t="s">
        <v>18</v>
      </c>
      <c r="AB2" s="94" t="s">
        <v>19</v>
      </c>
      <c r="AD2" s="37" t="s">
        <v>20</v>
      </c>
    </row>
    <row r="3" s="1" customFormat="1" ht="40" customHeight="1" spans="1:30">
      <c r="A3" s="75"/>
      <c r="B3" s="76"/>
      <c r="C3" s="76"/>
      <c r="D3" s="76"/>
      <c r="E3" s="76"/>
      <c r="F3" s="76" t="s">
        <v>6</v>
      </c>
      <c r="G3" s="77"/>
      <c r="H3" s="76"/>
      <c r="I3" s="86"/>
      <c r="J3" s="87"/>
      <c r="K3" s="87"/>
      <c r="L3" s="85" t="s">
        <v>21</v>
      </c>
      <c r="M3" s="85" t="s">
        <v>22</v>
      </c>
      <c r="N3" s="85" t="s">
        <v>23</v>
      </c>
      <c r="O3" s="85" t="s">
        <v>24</v>
      </c>
      <c r="P3" s="85" t="s">
        <v>25</v>
      </c>
      <c r="Q3" s="85" t="s">
        <v>26</v>
      </c>
      <c r="R3" s="85" t="s">
        <v>27</v>
      </c>
      <c r="S3" s="85" t="s">
        <v>28</v>
      </c>
      <c r="T3" s="85" t="s">
        <v>29</v>
      </c>
      <c r="U3" s="85" t="s">
        <v>24</v>
      </c>
      <c r="V3" s="85" t="s">
        <v>30</v>
      </c>
      <c r="W3" s="92"/>
      <c r="X3" s="77"/>
      <c r="Y3" s="77"/>
      <c r="Z3" s="77"/>
      <c r="AA3" s="95"/>
      <c r="AB3" s="94"/>
      <c r="AD3" s="38"/>
    </row>
    <row r="4" s="2" customFormat="1" ht="52" customHeight="1" spans="1:30">
      <c r="A4" s="12">
        <v>1</v>
      </c>
      <c r="B4" s="78" t="s">
        <v>31</v>
      </c>
      <c r="C4" s="78" t="s">
        <v>32</v>
      </c>
      <c r="D4" s="79">
        <v>5200</v>
      </c>
      <c r="E4" s="79">
        <v>80</v>
      </c>
      <c r="F4" s="79">
        <v>300</v>
      </c>
      <c r="G4" s="79">
        <v>500</v>
      </c>
      <c r="H4" s="79">
        <v>175</v>
      </c>
      <c r="I4" s="88">
        <f>SUM(D4:H4)</f>
        <v>6255</v>
      </c>
      <c r="J4" s="80">
        <f>VLOOKUP(B:B,'[1]12月四险一金14人'!$B:$C,2,0)</f>
        <v>5000</v>
      </c>
      <c r="K4" s="80">
        <f>VLOOKUP(B:B,'[1]12月四险一金14人'!$B:$E,4,0)</f>
        <v>3000</v>
      </c>
      <c r="L4" s="89">
        <f t="shared" ref="L4:L21" si="0">ROUND(J4*8%,2)</f>
        <v>400</v>
      </c>
      <c r="M4" s="89">
        <f t="shared" ref="M4:M21" si="1">ROUND(J4*2%,2)</f>
        <v>100</v>
      </c>
      <c r="N4" s="89">
        <f t="shared" ref="N4:N21" si="2">ROUND(J4*0.5%,2)</f>
        <v>25</v>
      </c>
      <c r="O4" s="89">
        <f t="shared" ref="O4:O21" si="3">ROUND(K4*5%,0)</f>
        <v>150</v>
      </c>
      <c r="P4" s="90">
        <f t="shared" ref="P4:P21" si="4">SUM(L4:O4)</f>
        <v>675</v>
      </c>
      <c r="Q4" s="89">
        <f t="shared" ref="Q4:Q21" si="5">ROUND(J4*16%,2)</f>
        <v>800</v>
      </c>
      <c r="R4" s="89">
        <f t="shared" ref="R4:R21" si="6">ROUND(J4*8.5%,2)</f>
        <v>425</v>
      </c>
      <c r="S4" s="89">
        <f t="shared" ref="S4:S21" si="7">ROUND(J4*0.5%,2)</f>
        <v>25</v>
      </c>
      <c r="T4" s="89">
        <f t="shared" ref="T4:T21" si="8">ROUND(J4*0.2%,2)</f>
        <v>10</v>
      </c>
      <c r="U4" s="89">
        <f t="shared" ref="U4:U21" si="9">O4</f>
        <v>150</v>
      </c>
      <c r="V4" s="90">
        <f t="shared" ref="V4:V21" si="10">SUM(Q4:U4)</f>
        <v>1410</v>
      </c>
      <c r="W4" s="80">
        <v>0</v>
      </c>
      <c r="X4" s="80">
        <f>I4-P4-W4</f>
        <v>5580</v>
      </c>
      <c r="Y4" s="80">
        <f t="shared" ref="Y4:Y21" si="11">ROUND(SUM(I4)*2%,2)</f>
        <v>125.1</v>
      </c>
      <c r="Z4" s="80">
        <f>ROUND(SUM(I4+V4+Y4)*6%,2)</f>
        <v>467.41</v>
      </c>
      <c r="AA4" s="80">
        <f>ROUND(SUM(I4+V4+Y4++Z4),2)</f>
        <v>8257.51</v>
      </c>
      <c r="AB4" s="96">
        <f>AA4*12</f>
        <v>99090.12</v>
      </c>
      <c r="AD4" s="2">
        <f>Z4*12</f>
        <v>5608.92</v>
      </c>
    </row>
    <row r="5" s="2" customFormat="1" ht="52" customHeight="1" spans="1:30">
      <c r="A5" s="12">
        <v>2</v>
      </c>
      <c r="B5" s="78" t="s">
        <v>33</v>
      </c>
      <c r="C5" s="78" t="s">
        <v>32</v>
      </c>
      <c r="D5" s="79">
        <v>5200</v>
      </c>
      <c r="E5" s="79">
        <v>80</v>
      </c>
      <c r="F5" s="79">
        <v>300</v>
      </c>
      <c r="G5" s="79">
        <v>500</v>
      </c>
      <c r="H5" s="79">
        <v>175</v>
      </c>
      <c r="I5" s="88">
        <f t="shared" ref="I4:I21" si="12">SUM(D5:H5)</f>
        <v>6255</v>
      </c>
      <c r="J5" s="80">
        <f>VLOOKUP(B:B,'[1]12月四险一金14人'!$B:$C,2,0)</f>
        <v>5000</v>
      </c>
      <c r="K5" s="80">
        <f>VLOOKUP(B:B,'[1]12月四险一金14人'!$B:$E,4,0)</f>
        <v>3000</v>
      </c>
      <c r="L5" s="89">
        <f t="shared" si="0"/>
        <v>400</v>
      </c>
      <c r="M5" s="89">
        <f t="shared" si="1"/>
        <v>100</v>
      </c>
      <c r="N5" s="89">
        <f t="shared" si="2"/>
        <v>25</v>
      </c>
      <c r="O5" s="89">
        <f t="shared" si="3"/>
        <v>150</v>
      </c>
      <c r="P5" s="90">
        <f t="shared" si="4"/>
        <v>675</v>
      </c>
      <c r="Q5" s="89">
        <f t="shared" si="5"/>
        <v>800</v>
      </c>
      <c r="R5" s="89">
        <f t="shared" si="6"/>
        <v>425</v>
      </c>
      <c r="S5" s="89">
        <f t="shared" si="7"/>
        <v>25</v>
      </c>
      <c r="T5" s="89">
        <f t="shared" si="8"/>
        <v>10</v>
      </c>
      <c r="U5" s="89">
        <f t="shared" si="9"/>
        <v>150</v>
      </c>
      <c r="V5" s="90">
        <f t="shared" si="10"/>
        <v>1410</v>
      </c>
      <c r="W5" s="80">
        <v>0</v>
      </c>
      <c r="X5" s="80">
        <f>I5-P5-W5</f>
        <v>5580</v>
      </c>
      <c r="Y5" s="80">
        <f t="shared" si="11"/>
        <v>125.1</v>
      </c>
      <c r="Z5" s="80">
        <f t="shared" ref="Z5:Z21" si="13">ROUND(SUM(I5+V5+Y5)*6%,2)</f>
        <v>467.41</v>
      </c>
      <c r="AA5" s="80">
        <f>ROUND(SUM(I5+V5+Y5++Z5),2)</f>
        <v>8257.51</v>
      </c>
      <c r="AB5" s="96">
        <f t="shared" ref="AB5:AB21" si="14">AA5*12</f>
        <v>99090.12</v>
      </c>
      <c r="AD5" s="2">
        <f t="shared" ref="AD5:AD21" si="15">Z5*12</f>
        <v>5608.92</v>
      </c>
    </row>
    <row r="6" s="2" customFormat="1" ht="52" customHeight="1" spans="1:30">
      <c r="A6" s="12">
        <v>3</v>
      </c>
      <c r="B6" s="78" t="s">
        <v>34</v>
      </c>
      <c r="C6" s="78" t="s">
        <v>32</v>
      </c>
      <c r="D6" s="79">
        <v>5200</v>
      </c>
      <c r="E6" s="79">
        <v>80</v>
      </c>
      <c r="F6" s="79">
        <v>300</v>
      </c>
      <c r="G6" s="79">
        <v>500</v>
      </c>
      <c r="H6" s="79">
        <v>175</v>
      </c>
      <c r="I6" s="88">
        <f t="shared" si="12"/>
        <v>6255</v>
      </c>
      <c r="J6" s="80">
        <f>VLOOKUP(B:B,'[1]12月四险一金14人'!$B:$C,2,0)</f>
        <v>5000</v>
      </c>
      <c r="K6" s="80">
        <f>VLOOKUP(B:B,'[1]12月四险一金14人'!$B:$E,4,0)</f>
        <v>3000</v>
      </c>
      <c r="L6" s="89">
        <f t="shared" si="0"/>
        <v>400</v>
      </c>
      <c r="M6" s="89">
        <f t="shared" si="1"/>
        <v>100</v>
      </c>
      <c r="N6" s="89">
        <f t="shared" si="2"/>
        <v>25</v>
      </c>
      <c r="O6" s="89">
        <f t="shared" si="3"/>
        <v>150</v>
      </c>
      <c r="P6" s="90">
        <f t="shared" si="4"/>
        <v>675</v>
      </c>
      <c r="Q6" s="89">
        <f t="shared" si="5"/>
        <v>800</v>
      </c>
      <c r="R6" s="89">
        <f t="shared" si="6"/>
        <v>425</v>
      </c>
      <c r="S6" s="89">
        <f t="shared" si="7"/>
        <v>25</v>
      </c>
      <c r="T6" s="89">
        <f t="shared" si="8"/>
        <v>10</v>
      </c>
      <c r="U6" s="89">
        <f t="shared" si="9"/>
        <v>150</v>
      </c>
      <c r="V6" s="90">
        <f t="shared" si="10"/>
        <v>1410</v>
      </c>
      <c r="W6" s="80">
        <v>0</v>
      </c>
      <c r="X6" s="80">
        <f t="shared" ref="X4:X21" si="16">I6-P6-W6</f>
        <v>5580</v>
      </c>
      <c r="Y6" s="80">
        <f t="shared" si="11"/>
        <v>125.1</v>
      </c>
      <c r="Z6" s="80">
        <f t="shared" si="13"/>
        <v>467.41</v>
      </c>
      <c r="AA6" s="80">
        <f t="shared" ref="AA5:AA21" si="17">ROUND(SUM(I6+V6+Y6++Z6),2)</f>
        <v>8257.51</v>
      </c>
      <c r="AB6" s="96">
        <f t="shared" si="14"/>
        <v>99090.12</v>
      </c>
      <c r="AD6" s="2">
        <f t="shared" si="15"/>
        <v>5608.92</v>
      </c>
    </row>
    <row r="7" s="2" customFormat="1" ht="52" customHeight="1" spans="1:30">
      <c r="A7" s="12">
        <v>4</v>
      </c>
      <c r="B7" s="78" t="s">
        <v>35</v>
      </c>
      <c r="C7" s="78" t="s">
        <v>32</v>
      </c>
      <c r="D7" s="79">
        <v>4200</v>
      </c>
      <c r="E7" s="79">
        <v>80</v>
      </c>
      <c r="F7" s="79">
        <v>300</v>
      </c>
      <c r="G7" s="79">
        <v>500</v>
      </c>
      <c r="H7" s="79">
        <v>175</v>
      </c>
      <c r="I7" s="88">
        <f t="shared" si="12"/>
        <v>5255</v>
      </c>
      <c r="J7" s="80">
        <f>VLOOKUP(B:B,'[1]12月四险一金14人'!$B:$C,2,0)</f>
        <v>3925.8</v>
      </c>
      <c r="K7" s="80">
        <f>VLOOKUP(B:B,'[1]12月四险一金14人'!$B:$E,4,0)</f>
        <v>3000</v>
      </c>
      <c r="L7" s="89">
        <f t="shared" si="0"/>
        <v>314.06</v>
      </c>
      <c r="M7" s="89">
        <f t="shared" si="1"/>
        <v>78.52</v>
      </c>
      <c r="N7" s="89">
        <f t="shared" si="2"/>
        <v>19.63</v>
      </c>
      <c r="O7" s="89">
        <f t="shared" si="3"/>
        <v>150</v>
      </c>
      <c r="P7" s="90">
        <f t="shared" si="4"/>
        <v>562.21</v>
      </c>
      <c r="Q7" s="89">
        <f t="shared" si="5"/>
        <v>628.13</v>
      </c>
      <c r="R7" s="89">
        <f t="shared" si="6"/>
        <v>333.69</v>
      </c>
      <c r="S7" s="89">
        <f t="shared" si="7"/>
        <v>19.63</v>
      </c>
      <c r="T7" s="89">
        <f t="shared" si="8"/>
        <v>7.85</v>
      </c>
      <c r="U7" s="89">
        <f t="shared" si="9"/>
        <v>150</v>
      </c>
      <c r="V7" s="90">
        <f t="shared" si="10"/>
        <v>1139.3</v>
      </c>
      <c r="W7" s="80">
        <v>0</v>
      </c>
      <c r="X7" s="80">
        <f t="shared" si="16"/>
        <v>4692.79</v>
      </c>
      <c r="Y7" s="80">
        <f t="shared" si="11"/>
        <v>105.1</v>
      </c>
      <c r="Z7" s="80">
        <f t="shared" si="13"/>
        <v>389.96</v>
      </c>
      <c r="AA7" s="80">
        <f t="shared" si="17"/>
        <v>6889.36</v>
      </c>
      <c r="AB7" s="96">
        <f t="shared" si="14"/>
        <v>82672.32</v>
      </c>
      <c r="AD7" s="2">
        <f t="shared" si="15"/>
        <v>4679.52</v>
      </c>
    </row>
    <row r="8" s="2" customFormat="1" ht="52" customHeight="1" spans="1:30">
      <c r="A8" s="12">
        <v>5</v>
      </c>
      <c r="B8" s="78" t="s">
        <v>36</v>
      </c>
      <c r="C8" s="78" t="s">
        <v>32</v>
      </c>
      <c r="D8" s="79">
        <v>4200</v>
      </c>
      <c r="E8" s="79">
        <v>80</v>
      </c>
      <c r="F8" s="79">
        <v>300</v>
      </c>
      <c r="G8" s="79">
        <v>500</v>
      </c>
      <c r="H8" s="79">
        <v>175</v>
      </c>
      <c r="I8" s="88">
        <f t="shared" si="12"/>
        <v>5255</v>
      </c>
      <c r="J8" s="80">
        <f>VLOOKUP(B:B,'[1]12月四险一金14人'!$B:$C,2,0)</f>
        <v>3925.8</v>
      </c>
      <c r="K8" s="80">
        <f>VLOOKUP(B:B,'[1]12月四险一金14人'!$B:$E,4,0)</f>
        <v>3000</v>
      </c>
      <c r="L8" s="89">
        <f t="shared" si="0"/>
        <v>314.06</v>
      </c>
      <c r="M8" s="89">
        <f t="shared" si="1"/>
        <v>78.52</v>
      </c>
      <c r="N8" s="89">
        <f t="shared" si="2"/>
        <v>19.63</v>
      </c>
      <c r="O8" s="89">
        <f t="shared" si="3"/>
        <v>150</v>
      </c>
      <c r="P8" s="90">
        <f t="shared" si="4"/>
        <v>562.21</v>
      </c>
      <c r="Q8" s="89">
        <f t="shared" si="5"/>
        <v>628.13</v>
      </c>
      <c r="R8" s="89">
        <f t="shared" si="6"/>
        <v>333.69</v>
      </c>
      <c r="S8" s="89">
        <f t="shared" si="7"/>
        <v>19.63</v>
      </c>
      <c r="T8" s="89">
        <f t="shared" si="8"/>
        <v>7.85</v>
      </c>
      <c r="U8" s="89">
        <f t="shared" si="9"/>
        <v>150</v>
      </c>
      <c r="V8" s="90">
        <f t="shared" si="10"/>
        <v>1139.3</v>
      </c>
      <c r="W8" s="80">
        <v>0</v>
      </c>
      <c r="X8" s="80">
        <f t="shared" si="16"/>
        <v>4692.79</v>
      </c>
      <c r="Y8" s="80">
        <f t="shared" si="11"/>
        <v>105.1</v>
      </c>
      <c r="Z8" s="80">
        <f t="shared" si="13"/>
        <v>389.96</v>
      </c>
      <c r="AA8" s="80">
        <f t="shared" si="17"/>
        <v>6889.36</v>
      </c>
      <c r="AB8" s="96">
        <f t="shared" si="14"/>
        <v>82672.32</v>
      </c>
      <c r="AD8" s="2">
        <f t="shared" si="15"/>
        <v>4679.52</v>
      </c>
    </row>
    <row r="9" s="2" customFormat="1" ht="52" customHeight="1" spans="1:30">
      <c r="A9" s="12">
        <v>6</v>
      </c>
      <c r="B9" s="78" t="s">
        <v>37</v>
      </c>
      <c r="C9" s="78" t="s">
        <v>32</v>
      </c>
      <c r="D9" s="79">
        <v>4200</v>
      </c>
      <c r="E9" s="79">
        <v>80</v>
      </c>
      <c r="F9" s="79">
        <v>300</v>
      </c>
      <c r="G9" s="79">
        <v>500</v>
      </c>
      <c r="H9" s="79">
        <v>175</v>
      </c>
      <c r="I9" s="88">
        <f t="shared" si="12"/>
        <v>5255</v>
      </c>
      <c r="J9" s="80">
        <f>VLOOKUP(B:B,'[1]12月四险一金14人'!$B:$C,2,0)</f>
        <v>3925.8</v>
      </c>
      <c r="K9" s="80">
        <f>VLOOKUP(B:B,'[1]12月四险一金14人'!$B:$E,4,0)</f>
        <v>3000</v>
      </c>
      <c r="L9" s="89">
        <f t="shared" si="0"/>
        <v>314.06</v>
      </c>
      <c r="M9" s="89">
        <f t="shared" si="1"/>
        <v>78.52</v>
      </c>
      <c r="N9" s="89">
        <f t="shared" si="2"/>
        <v>19.63</v>
      </c>
      <c r="O9" s="89">
        <f t="shared" si="3"/>
        <v>150</v>
      </c>
      <c r="P9" s="90">
        <f t="shared" si="4"/>
        <v>562.21</v>
      </c>
      <c r="Q9" s="89">
        <f t="shared" si="5"/>
        <v>628.13</v>
      </c>
      <c r="R9" s="89">
        <f t="shared" si="6"/>
        <v>333.69</v>
      </c>
      <c r="S9" s="89">
        <f t="shared" si="7"/>
        <v>19.63</v>
      </c>
      <c r="T9" s="89">
        <f t="shared" si="8"/>
        <v>7.85</v>
      </c>
      <c r="U9" s="89">
        <f t="shared" si="9"/>
        <v>150</v>
      </c>
      <c r="V9" s="90">
        <f t="shared" si="10"/>
        <v>1139.3</v>
      </c>
      <c r="W9" s="80">
        <v>0</v>
      </c>
      <c r="X9" s="80">
        <f t="shared" si="16"/>
        <v>4692.79</v>
      </c>
      <c r="Y9" s="80">
        <f t="shared" si="11"/>
        <v>105.1</v>
      </c>
      <c r="Z9" s="80">
        <f t="shared" si="13"/>
        <v>389.96</v>
      </c>
      <c r="AA9" s="80">
        <f t="shared" si="17"/>
        <v>6889.36</v>
      </c>
      <c r="AB9" s="96">
        <f t="shared" si="14"/>
        <v>82672.32</v>
      </c>
      <c r="AD9" s="2">
        <f t="shared" si="15"/>
        <v>4679.52</v>
      </c>
    </row>
    <row r="10" s="2" customFormat="1" ht="52" customHeight="1" spans="1:30">
      <c r="A10" s="12">
        <v>7</v>
      </c>
      <c r="B10" s="78" t="s">
        <v>38</v>
      </c>
      <c r="C10" s="78" t="s">
        <v>32</v>
      </c>
      <c r="D10" s="79">
        <v>4200</v>
      </c>
      <c r="E10" s="79">
        <v>80</v>
      </c>
      <c r="F10" s="79">
        <v>300</v>
      </c>
      <c r="G10" s="79">
        <v>500</v>
      </c>
      <c r="H10" s="79">
        <v>175</v>
      </c>
      <c r="I10" s="88">
        <f t="shared" si="12"/>
        <v>5255</v>
      </c>
      <c r="J10" s="80">
        <f>VLOOKUP(B:B,'[1]12月四险一金14人'!$B:$C,2,0)</f>
        <v>3925.8</v>
      </c>
      <c r="K10" s="80">
        <f>VLOOKUP(B:B,'[1]12月四险一金14人'!$B:$E,4,0)</f>
        <v>1680</v>
      </c>
      <c r="L10" s="89">
        <f t="shared" si="0"/>
        <v>314.06</v>
      </c>
      <c r="M10" s="89">
        <f t="shared" si="1"/>
        <v>78.52</v>
      </c>
      <c r="N10" s="89">
        <f t="shared" si="2"/>
        <v>19.63</v>
      </c>
      <c r="O10" s="89">
        <f t="shared" si="3"/>
        <v>84</v>
      </c>
      <c r="P10" s="90">
        <f t="shared" si="4"/>
        <v>496.21</v>
      </c>
      <c r="Q10" s="89">
        <f t="shared" si="5"/>
        <v>628.13</v>
      </c>
      <c r="R10" s="89">
        <f t="shared" si="6"/>
        <v>333.69</v>
      </c>
      <c r="S10" s="89">
        <f t="shared" si="7"/>
        <v>19.63</v>
      </c>
      <c r="T10" s="89">
        <f t="shared" si="8"/>
        <v>7.85</v>
      </c>
      <c r="U10" s="89">
        <f t="shared" si="9"/>
        <v>84</v>
      </c>
      <c r="V10" s="90">
        <f t="shared" si="10"/>
        <v>1073.3</v>
      </c>
      <c r="W10" s="80">
        <v>0</v>
      </c>
      <c r="X10" s="80">
        <f t="shared" si="16"/>
        <v>4758.79</v>
      </c>
      <c r="Y10" s="80">
        <f t="shared" si="11"/>
        <v>105.1</v>
      </c>
      <c r="Z10" s="80">
        <f t="shared" si="13"/>
        <v>386</v>
      </c>
      <c r="AA10" s="80">
        <f t="shared" si="17"/>
        <v>6819.4</v>
      </c>
      <c r="AB10" s="96">
        <f t="shared" si="14"/>
        <v>81832.8</v>
      </c>
      <c r="AD10" s="2">
        <f t="shared" si="15"/>
        <v>4632</v>
      </c>
    </row>
    <row r="11" s="2" customFormat="1" ht="52" customHeight="1" spans="1:30">
      <c r="A11" s="12">
        <v>8</v>
      </c>
      <c r="B11" s="78" t="s">
        <v>39</v>
      </c>
      <c r="C11" s="78" t="s">
        <v>32</v>
      </c>
      <c r="D11" s="79">
        <v>4200</v>
      </c>
      <c r="E11" s="79">
        <v>80</v>
      </c>
      <c r="F11" s="79">
        <v>300</v>
      </c>
      <c r="G11" s="79">
        <v>500</v>
      </c>
      <c r="H11" s="79">
        <v>175</v>
      </c>
      <c r="I11" s="88">
        <f t="shared" si="12"/>
        <v>5255</v>
      </c>
      <c r="J11" s="80">
        <f>VLOOKUP(B:B,'[1]12月四险一金14人'!$B:$C,2,0)</f>
        <v>3925.8</v>
      </c>
      <c r="K11" s="80">
        <f>VLOOKUP(B:B,'[1]12月四险一金14人'!$B:$E,4,0)</f>
        <v>1680</v>
      </c>
      <c r="L11" s="89">
        <f t="shared" si="0"/>
        <v>314.06</v>
      </c>
      <c r="M11" s="89">
        <f t="shared" si="1"/>
        <v>78.52</v>
      </c>
      <c r="N11" s="89">
        <f t="shared" si="2"/>
        <v>19.63</v>
      </c>
      <c r="O11" s="89">
        <f t="shared" si="3"/>
        <v>84</v>
      </c>
      <c r="P11" s="90">
        <f t="shared" si="4"/>
        <v>496.21</v>
      </c>
      <c r="Q11" s="89">
        <f t="shared" si="5"/>
        <v>628.13</v>
      </c>
      <c r="R11" s="89">
        <f t="shared" si="6"/>
        <v>333.69</v>
      </c>
      <c r="S11" s="89">
        <f t="shared" si="7"/>
        <v>19.63</v>
      </c>
      <c r="T11" s="89">
        <f t="shared" si="8"/>
        <v>7.85</v>
      </c>
      <c r="U11" s="89">
        <f t="shared" si="9"/>
        <v>84</v>
      </c>
      <c r="V11" s="90">
        <f t="shared" si="10"/>
        <v>1073.3</v>
      </c>
      <c r="W11" s="80">
        <v>0</v>
      </c>
      <c r="X11" s="80">
        <f t="shared" si="16"/>
        <v>4758.79</v>
      </c>
      <c r="Y11" s="80">
        <f t="shared" si="11"/>
        <v>105.1</v>
      </c>
      <c r="Z11" s="80">
        <f t="shared" si="13"/>
        <v>386</v>
      </c>
      <c r="AA11" s="80">
        <f t="shared" si="17"/>
        <v>6819.4</v>
      </c>
      <c r="AB11" s="96">
        <f t="shared" si="14"/>
        <v>81832.8</v>
      </c>
      <c r="AD11" s="2">
        <f t="shared" si="15"/>
        <v>4632</v>
      </c>
    </row>
    <row r="12" s="2" customFormat="1" ht="52" customHeight="1" spans="1:30">
      <c r="A12" s="12">
        <v>9</v>
      </c>
      <c r="B12" s="78" t="s">
        <v>40</v>
      </c>
      <c r="C12" s="78" t="s">
        <v>32</v>
      </c>
      <c r="D12" s="79">
        <v>4200</v>
      </c>
      <c r="E12" s="79">
        <v>80</v>
      </c>
      <c r="F12" s="79">
        <v>300</v>
      </c>
      <c r="G12" s="79">
        <v>500</v>
      </c>
      <c r="H12" s="79">
        <v>175</v>
      </c>
      <c r="I12" s="88">
        <f t="shared" si="12"/>
        <v>5255</v>
      </c>
      <c r="J12" s="80">
        <f>VLOOKUP(B:B,'[1]12月四险一金14人'!$B:$C,2,0)</f>
        <v>3925.8</v>
      </c>
      <c r="K12" s="80">
        <f>VLOOKUP(B:B,'[1]12月四险一金14人'!$B:$E,4,0)</f>
        <v>1680</v>
      </c>
      <c r="L12" s="89">
        <f t="shared" si="0"/>
        <v>314.06</v>
      </c>
      <c r="M12" s="89">
        <f t="shared" si="1"/>
        <v>78.52</v>
      </c>
      <c r="N12" s="89">
        <f t="shared" si="2"/>
        <v>19.63</v>
      </c>
      <c r="O12" s="89">
        <f t="shared" si="3"/>
        <v>84</v>
      </c>
      <c r="P12" s="90">
        <f t="shared" si="4"/>
        <v>496.21</v>
      </c>
      <c r="Q12" s="89">
        <f t="shared" si="5"/>
        <v>628.13</v>
      </c>
      <c r="R12" s="89">
        <f t="shared" si="6"/>
        <v>333.69</v>
      </c>
      <c r="S12" s="89">
        <f t="shared" si="7"/>
        <v>19.63</v>
      </c>
      <c r="T12" s="89">
        <f t="shared" si="8"/>
        <v>7.85</v>
      </c>
      <c r="U12" s="89">
        <f t="shared" si="9"/>
        <v>84</v>
      </c>
      <c r="V12" s="90">
        <f t="shared" si="10"/>
        <v>1073.3</v>
      </c>
      <c r="W12" s="80">
        <v>0</v>
      </c>
      <c r="X12" s="80">
        <f t="shared" si="16"/>
        <v>4758.79</v>
      </c>
      <c r="Y12" s="80">
        <f t="shared" si="11"/>
        <v>105.1</v>
      </c>
      <c r="Z12" s="80">
        <f t="shared" si="13"/>
        <v>386</v>
      </c>
      <c r="AA12" s="80">
        <f t="shared" si="17"/>
        <v>6819.4</v>
      </c>
      <c r="AB12" s="96">
        <f t="shared" si="14"/>
        <v>81832.8</v>
      </c>
      <c r="AD12" s="2">
        <f t="shared" si="15"/>
        <v>4632</v>
      </c>
    </row>
    <row r="13" s="2" customFormat="1" ht="52" customHeight="1" spans="1:30">
      <c r="A13" s="12">
        <v>10</v>
      </c>
      <c r="B13" s="78" t="s">
        <v>41</v>
      </c>
      <c r="C13" s="78" t="s">
        <v>32</v>
      </c>
      <c r="D13" s="79">
        <v>4200</v>
      </c>
      <c r="E13" s="79">
        <v>80</v>
      </c>
      <c r="F13" s="79">
        <v>300</v>
      </c>
      <c r="G13" s="79">
        <v>500</v>
      </c>
      <c r="H13" s="79">
        <v>175</v>
      </c>
      <c r="I13" s="88">
        <f t="shared" si="12"/>
        <v>5255</v>
      </c>
      <c r="J13" s="80">
        <f>VLOOKUP(B:B,'[1]12月四险一金14人'!$B:$C,2,0)</f>
        <v>3925.8</v>
      </c>
      <c r="K13" s="80">
        <f>VLOOKUP(B:B,'[1]12月四险一金14人'!$B:$E,4,0)</f>
        <v>1680</v>
      </c>
      <c r="L13" s="89">
        <f t="shared" si="0"/>
        <v>314.06</v>
      </c>
      <c r="M13" s="89">
        <f t="shared" si="1"/>
        <v>78.52</v>
      </c>
      <c r="N13" s="89">
        <f t="shared" si="2"/>
        <v>19.63</v>
      </c>
      <c r="O13" s="89">
        <f t="shared" si="3"/>
        <v>84</v>
      </c>
      <c r="P13" s="90">
        <f t="shared" si="4"/>
        <v>496.21</v>
      </c>
      <c r="Q13" s="89">
        <f t="shared" si="5"/>
        <v>628.13</v>
      </c>
      <c r="R13" s="89">
        <f t="shared" si="6"/>
        <v>333.69</v>
      </c>
      <c r="S13" s="89">
        <f t="shared" si="7"/>
        <v>19.63</v>
      </c>
      <c r="T13" s="89">
        <f t="shared" si="8"/>
        <v>7.85</v>
      </c>
      <c r="U13" s="89">
        <f t="shared" si="9"/>
        <v>84</v>
      </c>
      <c r="V13" s="90">
        <f t="shared" si="10"/>
        <v>1073.3</v>
      </c>
      <c r="W13" s="80">
        <v>0</v>
      </c>
      <c r="X13" s="80">
        <f t="shared" si="16"/>
        <v>4758.79</v>
      </c>
      <c r="Y13" s="80">
        <f t="shared" si="11"/>
        <v>105.1</v>
      </c>
      <c r="Z13" s="80">
        <f t="shared" si="13"/>
        <v>386</v>
      </c>
      <c r="AA13" s="80">
        <f t="shared" si="17"/>
        <v>6819.4</v>
      </c>
      <c r="AB13" s="96">
        <f t="shared" si="14"/>
        <v>81832.8</v>
      </c>
      <c r="AD13" s="2">
        <f t="shared" si="15"/>
        <v>4632</v>
      </c>
    </row>
    <row r="14" s="2" customFormat="1" ht="52" customHeight="1" spans="1:30">
      <c r="A14" s="12">
        <v>11</v>
      </c>
      <c r="B14" s="78" t="s">
        <v>42</v>
      </c>
      <c r="C14" s="78" t="s">
        <v>32</v>
      </c>
      <c r="D14" s="79">
        <v>4200</v>
      </c>
      <c r="E14" s="79">
        <v>80</v>
      </c>
      <c r="F14" s="79">
        <v>300</v>
      </c>
      <c r="G14" s="79">
        <v>500</v>
      </c>
      <c r="H14" s="79">
        <v>175</v>
      </c>
      <c r="I14" s="88">
        <f t="shared" si="12"/>
        <v>5255</v>
      </c>
      <c r="J14" s="80">
        <f>VLOOKUP(B:B,'[1]12月四险一金14人'!$B:$C,2,0)</f>
        <v>3925.8</v>
      </c>
      <c r="K14" s="80">
        <f>VLOOKUP(B:B,'[1]12月四险一金14人'!$B:$E,4,0)</f>
        <v>1680</v>
      </c>
      <c r="L14" s="89">
        <f t="shared" si="0"/>
        <v>314.06</v>
      </c>
      <c r="M14" s="89">
        <f t="shared" si="1"/>
        <v>78.52</v>
      </c>
      <c r="N14" s="89">
        <f t="shared" si="2"/>
        <v>19.63</v>
      </c>
      <c r="O14" s="89">
        <f t="shared" si="3"/>
        <v>84</v>
      </c>
      <c r="P14" s="90">
        <f t="shared" si="4"/>
        <v>496.21</v>
      </c>
      <c r="Q14" s="89">
        <f t="shared" si="5"/>
        <v>628.13</v>
      </c>
      <c r="R14" s="89">
        <f t="shared" si="6"/>
        <v>333.69</v>
      </c>
      <c r="S14" s="89">
        <f t="shared" si="7"/>
        <v>19.63</v>
      </c>
      <c r="T14" s="89">
        <f t="shared" si="8"/>
        <v>7.85</v>
      </c>
      <c r="U14" s="89">
        <f t="shared" si="9"/>
        <v>84</v>
      </c>
      <c r="V14" s="90">
        <f t="shared" si="10"/>
        <v>1073.3</v>
      </c>
      <c r="W14" s="80">
        <v>0</v>
      </c>
      <c r="X14" s="80">
        <f t="shared" si="16"/>
        <v>4758.79</v>
      </c>
      <c r="Y14" s="80">
        <f t="shared" si="11"/>
        <v>105.1</v>
      </c>
      <c r="Z14" s="80">
        <f t="shared" si="13"/>
        <v>386</v>
      </c>
      <c r="AA14" s="80">
        <f t="shared" si="17"/>
        <v>6819.4</v>
      </c>
      <c r="AB14" s="96">
        <f t="shared" si="14"/>
        <v>81832.8</v>
      </c>
      <c r="AD14" s="2">
        <f t="shared" si="15"/>
        <v>4632</v>
      </c>
    </row>
    <row r="15" s="2" customFormat="1" ht="52" customHeight="1" spans="1:30">
      <c r="A15" s="12">
        <v>12</v>
      </c>
      <c r="B15" s="78" t="s">
        <v>43</v>
      </c>
      <c r="C15" s="78" t="s">
        <v>32</v>
      </c>
      <c r="D15" s="79">
        <v>4200</v>
      </c>
      <c r="E15" s="79">
        <v>80</v>
      </c>
      <c r="F15" s="79">
        <v>300</v>
      </c>
      <c r="G15" s="79">
        <v>500</v>
      </c>
      <c r="H15" s="79">
        <v>175</v>
      </c>
      <c r="I15" s="88">
        <f t="shared" si="12"/>
        <v>5255</v>
      </c>
      <c r="J15" s="80">
        <f>VLOOKUP(B:B,'[1]12月四险一金14人'!$B:$C,2,0)</f>
        <v>3925.8</v>
      </c>
      <c r="K15" s="80">
        <f>VLOOKUP(B:B,'[1]12月四险一金14人'!$B:$E,4,0)</f>
        <v>1680</v>
      </c>
      <c r="L15" s="89">
        <f t="shared" si="0"/>
        <v>314.06</v>
      </c>
      <c r="M15" s="89">
        <f t="shared" si="1"/>
        <v>78.52</v>
      </c>
      <c r="N15" s="89">
        <f t="shared" si="2"/>
        <v>19.63</v>
      </c>
      <c r="O15" s="89">
        <f t="shared" si="3"/>
        <v>84</v>
      </c>
      <c r="P15" s="90">
        <f t="shared" si="4"/>
        <v>496.21</v>
      </c>
      <c r="Q15" s="89">
        <f t="shared" si="5"/>
        <v>628.13</v>
      </c>
      <c r="R15" s="89">
        <f t="shared" si="6"/>
        <v>333.69</v>
      </c>
      <c r="S15" s="89">
        <f t="shared" si="7"/>
        <v>19.63</v>
      </c>
      <c r="T15" s="89">
        <f t="shared" si="8"/>
        <v>7.85</v>
      </c>
      <c r="U15" s="89">
        <f t="shared" si="9"/>
        <v>84</v>
      </c>
      <c r="V15" s="90">
        <f t="shared" si="10"/>
        <v>1073.3</v>
      </c>
      <c r="W15" s="80">
        <v>0</v>
      </c>
      <c r="X15" s="80">
        <f t="shared" si="16"/>
        <v>4758.79</v>
      </c>
      <c r="Y15" s="80">
        <f t="shared" si="11"/>
        <v>105.1</v>
      </c>
      <c r="Z15" s="80">
        <f t="shared" si="13"/>
        <v>386</v>
      </c>
      <c r="AA15" s="80">
        <f t="shared" si="17"/>
        <v>6819.4</v>
      </c>
      <c r="AB15" s="96">
        <f t="shared" si="14"/>
        <v>81832.8</v>
      </c>
      <c r="AD15" s="2">
        <f t="shared" si="15"/>
        <v>4632</v>
      </c>
    </row>
    <row r="16" s="2" customFormat="1" ht="52" customHeight="1" spans="1:30">
      <c r="A16" s="12">
        <v>13</v>
      </c>
      <c r="B16" s="78" t="s">
        <v>44</v>
      </c>
      <c r="C16" s="78" t="s">
        <v>32</v>
      </c>
      <c r="D16" s="79">
        <v>4200</v>
      </c>
      <c r="E16" s="79">
        <v>80</v>
      </c>
      <c r="F16" s="79">
        <v>300</v>
      </c>
      <c r="G16" s="79">
        <v>500</v>
      </c>
      <c r="H16" s="79">
        <v>175</v>
      </c>
      <c r="I16" s="88">
        <f t="shared" si="12"/>
        <v>5255</v>
      </c>
      <c r="J16" s="80"/>
      <c r="K16" s="80"/>
      <c r="L16" s="89"/>
      <c r="M16" s="89"/>
      <c r="N16" s="89"/>
      <c r="O16" s="89"/>
      <c r="P16" s="90"/>
      <c r="Q16" s="89"/>
      <c r="R16" s="89"/>
      <c r="S16" s="89"/>
      <c r="T16" s="89"/>
      <c r="U16" s="89"/>
      <c r="V16" s="90"/>
      <c r="W16" s="80"/>
      <c r="X16" s="80">
        <f t="shared" si="16"/>
        <v>5255</v>
      </c>
      <c r="Y16" s="80">
        <f t="shared" si="11"/>
        <v>105.1</v>
      </c>
      <c r="Z16" s="80">
        <f t="shared" si="13"/>
        <v>321.61</v>
      </c>
      <c r="AA16" s="80">
        <f t="shared" si="17"/>
        <v>5681.71</v>
      </c>
      <c r="AB16" s="96">
        <f t="shared" si="14"/>
        <v>68180.52</v>
      </c>
      <c r="AD16" s="2">
        <f t="shared" si="15"/>
        <v>3859.32</v>
      </c>
    </row>
    <row r="17" s="2" customFormat="1" ht="52" customHeight="1" spans="1:30">
      <c r="A17" s="12">
        <v>14</v>
      </c>
      <c r="B17" s="78" t="s">
        <v>45</v>
      </c>
      <c r="C17" s="78" t="s">
        <v>32</v>
      </c>
      <c r="D17" s="79">
        <v>4200</v>
      </c>
      <c r="E17" s="79">
        <v>80</v>
      </c>
      <c r="F17" s="79">
        <v>300</v>
      </c>
      <c r="G17" s="79">
        <v>500</v>
      </c>
      <c r="H17" s="79">
        <v>175</v>
      </c>
      <c r="I17" s="88">
        <f t="shared" si="12"/>
        <v>5255</v>
      </c>
      <c r="J17" s="80"/>
      <c r="K17" s="80"/>
      <c r="L17" s="89"/>
      <c r="M17" s="89"/>
      <c r="N17" s="89"/>
      <c r="O17" s="89"/>
      <c r="P17" s="90"/>
      <c r="Q17" s="89"/>
      <c r="R17" s="89"/>
      <c r="S17" s="89"/>
      <c r="T17" s="89"/>
      <c r="U17" s="89"/>
      <c r="V17" s="90"/>
      <c r="W17" s="80"/>
      <c r="X17" s="80">
        <f t="shared" si="16"/>
        <v>5255</v>
      </c>
      <c r="Y17" s="80">
        <f t="shared" si="11"/>
        <v>105.1</v>
      </c>
      <c r="Z17" s="80">
        <f t="shared" si="13"/>
        <v>321.61</v>
      </c>
      <c r="AA17" s="80">
        <f t="shared" si="17"/>
        <v>5681.71</v>
      </c>
      <c r="AB17" s="96">
        <f t="shared" si="14"/>
        <v>68180.52</v>
      </c>
      <c r="AD17" s="2">
        <f t="shared" si="15"/>
        <v>3859.32</v>
      </c>
    </row>
    <row r="18" s="2" customFormat="1" ht="52" customHeight="1" spans="1:30">
      <c r="A18" s="12">
        <v>15</v>
      </c>
      <c r="B18" s="78" t="s">
        <v>46</v>
      </c>
      <c r="C18" s="78" t="s">
        <v>32</v>
      </c>
      <c r="D18" s="79">
        <v>4200</v>
      </c>
      <c r="E18" s="79">
        <v>80</v>
      </c>
      <c r="F18" s="79">
        <v>300</v>
      </c>
      <c r="G18" s="79">
        <v>500</v>
      </c>
      <c r="H18" s="79">
        <v>175</v>
      </c>
      <c r="I18" s="88">
        <f t="shared" si="12"/>
        <v>5255</v>
      </c>
      <c r="J18" s="80">
        <f>VLOOKUP(B:B,'[1]12月四险一金14人'!$B:$C,2,0)</f>
        <v>3925.8</v>
      </c>
      <c r="K18" s="80">
        <f>VLOOKUP(B:B,'[1]12月四险一金14人'!$B:$E,4,0)</f>
        <v>1680</v>
      </c>
      <c r="L18" s="89">
        <f t="shared" si="0"/>
        <v>314.06</v>
      </c>
      <c r="M18" s="89">
        <f t="shared" si="1"/>
        <v>78.52</v>
      </c>
      <c r="N18" s="89">
        <f t="shared" si="2"/>
        <v>19.63</v>
      </c>
      <c r="O18" s="89">
        <f t="shared" si="3"/>
        <v>84</v>
      </c>
      <c r="P18" s="90">
        <f t="shared" si="4"/>
        <v>496.21</v>
      </c>
      <c r="Q18" s="89">
        <f t="shared" si="5"/>
        <v>628.13</v>
      </c>
      <c r="R18" s="89">
        <f t="shared" si="6"/>
        <v>333.69</v>
      </c>
      <c r="S18" s="89">
        <f t="shared" si="7"/>
        <v>19.63</v>
      </c>
      <c r="T18" s="89">
        <f t="shared" si="8"/>
        <v>7.85</v>
      </c>
      <c r="U18" s="89">
        <f t="shared" si="9"/>
        <v>84</v>
      </c>
      <c r="V18" s="90">
        <f t="shared" si="10"/>
        <v>1073.3</v>
      </c>
      <c r="W18" s="80">
        <v>0</v>
      </c>
      <c r="X18" s="80">
        <f t="shared" si="16"/>
        <v>4758.79</v>
      </c>
      <c r="Y18" s="80">
        <f t="shared" si="11"/>
        <v>105.1</v>
      </c>
      <c r="Z18" s="80">
        <f t="shared" si="13"/>
        <v>386</v>
      </c>
      <c r="AA18" s="80">
        <f t="shared" si="17"/>
        <v>6819.4</v>
      </c>
      <c r="AB18" s="96">
        <f t="shared" si="14"/>
        <v>81832.8</v>
      </c>
      <c r="AD18" s="2">
        <f t="shared" si="15"/>
        <v>4632</v>
      </c>
    </row>
    <row r="19" s="2" customFormat="1" ht="52" customHeight="1" spans="1:30">
      <c r="A19" s="12">
        <v>16</v>
      </c>
      <c r="B19" s="78" t="s">
        <v>47</v>
      </c>
      <c r="C19" s="78" t="s">
        <v>32</v>
      </c>
      <c r="D19" s="79">
        <v>4200</v>
      </c>
      <c r="E19" s="79">
        <v>80</v>
      </c>
      <c r="F19" s="79">
        <v>300</v>
      </c>
      <c r="G19" s="79">
        <v>500</v>
      </c>
      <c r="H19" s="79">
        <v>175</v>
      </c>
      <c r="I19" s="88">
        <f t="shared" si="12"/>
        <v>5255</v>
      </c>
      <c r="J19" s="80">
        <f>VLOOKUP(B:B,'[1]12月四险一金14人'!$B:$C,2,0)</f>
        <v>3925.8</v>
      </c>
      <c r="K19" s="80">
        <f>VLOOKUP(B:B,'[1]12月四险一金14人'!$B:$E,4,0)</f>
        <v>1680</v>
      </c>
      <c r="L19" s="89">
        <f t="shared" si="0"/>
        <v>314.06</v>
      </c>
      <c r="M19" s="89">
        <f t="shared" si="1"/>
        <v>78.52</v>
      </c>
      <c r="N19" s="89">
        <f t="shared" si="2"/>
        <v>19.63</v>
      </c>
      <c r="O19" s="89">
        <f t="shared" si="3"/>
        <v>84</v>
      </c>
      <c r="P19" s="90">
        <f t="shared" si="4"/>
        <v>496.21</v>
      </c>
      <c r="Q19" s="89">
        <f t="shared" si="5"/>
        <v>628.13</v>
      </c>
      <c r="R19" s="89">
        <f t="shared" si="6"/>
        <v>333.69</v>
      </c>
      <c r="S19" s="89">
        <f t="shared" si="7"/>
        <v>19.63</v>
      </c>
      <c r="T19" s="89">
        <f t="shared" si="8"/>
        <v>7.85</v>
      </c>
      <c r="U19" s="89">
        <f t="shared" si="9"/>
        <v>84</v>
      </c>
      <c r="V19" s="90">
        <f t="shared" si="10"/>
        <v>1073.3</v>
      </c>
      <c r="W19" s="80">
        <v>0</v>
      </c>
      <c r="X19" s="80">
        <f t="shared" si="16"/>
        <v>4758.79</v>
      </c>
      <c r="Y19" s="80">
        <f t="shared" si="11"/>
        <v>105.1</v>
      </c>
      <c r="Z19" s="80">
        <f t="shared" si="13"/>
        <v>386</v>
      </c>
      <c r="AA19" s="80">
        <f t="shared" si="17"/>
        <v>6819.4</v>
      </c>
      <c r="AB19" s="96">
        <f t="shared" si="14"/>
        <v>81832.8</v>
      </c>
      <c r="AD19" s="2">
        <f t="shared" si="15"/>
        <v>4632</v>
      </c>
    </row>
    <row r="20" s="2" customFormat="1" ht="52" customHeight="1" spans="1:30">
      <c r="A20" s="12">
        <v>17</v>
      </c>
      <c r="B20" s="78" t="s">
        <v>48</v>
      </c>
      <c r="C20" s="78" t="s">
        <v>32</v>
      </c>
      <c r="D20" s="79">
        <v>4200</v>
      </c>
      <c r="E20" s="79">
        <v>80</v>
      </c>
      <c r="F20" s="79">
        <v>300</v>
      </c>
      <c r="G20" s="79">
        <v>500</v>
      </c>
      <c r="H20" s="79">
        <v>175</v>
      </c>
      <c r="I20" s="88">
        <f t="shared" si="12"/>
        <v>5255</v>
      </c>
      <c r="J20" s="91">
        <v>3925.8</v>
      </c>
      <c r="K20" s="91">
        <v>1680</v>
      </c>
      <c r="L20" s="89">
        <f t="shared" si="0"/>
        <v>314.06</v>
      </c>
      <c r="M20" s="89">
        <f t="shared" si="1"/>
        <v>78.52</v>
      </c>
      <c r="N20" s="89">
        <f t="shared" si="2"/>
        <v>19.63</v>
      </c>
      <c r="O20" s="89">
        <f t="shared" si="3"/>
        <v>84</v>
      </c>
      <c r="P20" s="90">
        <f t="shared" si="4"/>
        <v>496.21</v>
      </c>
      <c r="Q20" s="89">
        <f t="shared" si="5"/>
        <v>628.13</v>
      </c>
      <c r="R20" s="89">
        <f t="shared" si="6"/>
        <v>333.69</v>
      </c>
      <c r="S20" s="89">
        <f t="shared" si="7"/>
        <v>19.63</v>
      </c>
      <c r="T20" s="89">
        <f t="shared" si="8"/>
        <v>7.85</v>
      </c>
      <c r="U20" s="89">
        <f t="shared" si="9"/>
        <v>84</v>
      </c>
      <c r="V20" s="90">
        <f t="shared" si="10"/>
        <v>1073.3</v>
      </c>
      <c r="W20" s="80">
        <v>0</v>
      </c>
      <c r="X20" s="80">
        <f t="shared" si="16"/>
        <v>4758.79</v>
      </c>
      <c r="Y20" s="80">
        <f t="shared" si="11"/>
        <v>105.1</v>
      </c>
      <c r="Z20" s="80">
        <f t="shared" si="13"/>
        <v>386</v>
      </c>
      <c r="AA20" s="80">
        <f t="shared" si="17"/>
        <v>6819.4</v>
      </c>
      <c r="AB20" s="96">
        <f t="shared" si="14"/>
        <v>81832.8</v>
      </c>
      <c r="AD20" s="2">
        <f t="shared" si="15"/>
        <v>4632</v>
      </c>
    </row>
    <row r="21" s="2" customFormat="1" ht="52" customHeight="1" spans="1:30">
      <c r="A21" s="12">
        <v>18</v>
      </c>
      <c r="B21" s="78" t="s">
        <v>49</v>
      </c>
      <c r="C21" s="78" t="s">
        <v>32</v>
      </c>
      <c r="D21" s="79">
        <v>4200</v>
      </c>
      <c r="E21" s="79">
        <v>80</v>
      </c>
      <c r="F21" s="79">
        <v>300</v>
      </c>
      <c r="G21" s="79">
        <v>500</v>
      </c>
      <c r="H21" s="79">
        <v>175</v>
      </c>
      <c r="I21" s="88">
        <f t="shared" si="12"/>
        <v>5255</v>
      </c>
      <c r="J21" s="91">
        <v>3925.8</v>
      </c>
      <c r="K21" s="91">
        <v>1680</v>
      </c>
      <c r="L21" s="89">
        <f t="shared" si="0"/>
        <v>314.06</v>
      </c>
      <c r="M21" s="89">
        <f t="shared" si="1"/>
        <v>78.52</v>
      </c>
      <c r="N21" s="89">
        <f t="shared" si="2"/>
        <v>19.63</v>
      </c>
      <c r="O21" s="89">
        <f t="shared" si="3"/>
        <v>84</v>
      </c>
      <c r="P21" s="90">
        <f t="shared" si="4"/>
        <v>496.21</v>
      </c>
      <c r="Q21" s="89">
        <f t="shared" si="5"/>
        <v>628.13</v>
      </c>
      <c r="R21" s="89">
        <f t="shared" si="6"/>
        <v>333.69</v>
      </c>
      <c r="S21" s="89">
        <f t="shared" si="7"/>
        <v>19.63</v>
      </c>
      <c r="T21" s="89">
        <f t="shared" si="8"/>
        <v>7.85</v>
      </c>
      <c r="U21" s="89">
        <f t="shared" si="9"/>
        <v>84</v>
      </c>
      <c r="V21" s="90">
        <f t="shared" si="10"/>
        <v>1073.3</v>
      </c>
      <c r="W21" s="80">
        <v>0</v>
      </c>
      <c r="X21" s="80">
        <f t="shared" si="16"/>
        <v>4758.79</v>
      </c>
      <c r="Y21" s="80">
        <f t="shared" si="11"/>
        <v>105.1</v>
      </c>
      <c r="Z21" s="80">
        <f t="shared" si="13"/>
        <v>386</v>
      </c>
      <c r="AA21" s="80">
        <f t="shared" si="17"/>
        <v>6819.4</v>
      </c>
      <c r="AB21" s="96">
        <f t="shared" si="14"/>
        <v>81832.8</v>
      </c>
      <c r="AD21" s="2">
        <f t="shared" si="15"/>
        <v>4632</v>
      </c>
    </row>
    <row r="22" s="2" customFormat="1" ht="52" customHeight="1" spans="1:30">
      <c r="A22" s="25" t="s">
        <v>50</v>
      </c>
      <c r="B22" s="25"/>
      <c r="C22" s="25"/>
      <c r="D22" s="80">
        <f t="shared" ref="D22:I22" si="18">SUM(D4:D21)</f>
        <v>78600</v>
      </c>
      <c r="E22" s="80">
        <f t="shared" si="18"/>
        <v>1440</v>
      </c>
      <c r="F22" s="80">
        <f t="shared" si="18"/>
        <v>5400</v>
      </c>
      <c r="G22" s="80">
        <f t="shared" si="18"/>
        <v>9000</v>
      </c>
      <c r="H22" s="80">
        <f t="shared" si="18"/>
        <v>3150</v>
      </c>
      <c r="I22" s="80">
        <f t="shared" si="18"/>
        <v>97590</v>
      </c>
      <c r="J22" s="80"/>
      <c r="K22" s="80"/>
      <c r="L22" s="80">
        <f>SUM(L4:L21)</f>
        <v>5282.78</v>
      </c>
      <c r="M22" s="80">
        <f t="shared" ref="L22:AB22" si="19">SUM(M4:M21)</f>
        <v>1320.76</v>
      </c>
      <c r="N22" s="80">
        <f t="shared" si="19"/>
        <v>330.19</v>
      </c>
      <c r="O22" s="80">
        <f t="shared" si="19"/>
        <v>1740</v>
      </c>
      <c r="P22" s="80">
        <f t="shared" si="19"/>
        <v>8673.73</v>
      </c>
      <c r="Q22" s="80">
        <f t="shared" si="19"/>
        <v>10565.69</v>
      </c>
      <c r="R22" s="80">
        <f t="shared" si="19"/>
        <v>5612.97</v>
      </c>
      <c r="S22" s="80">
        <f t="shared" si="19"/>
        <v>330.19</v>
      </c>
      <c r="T22" s="80">
        <f t="shared" si="19"/>
        <v>132.05</v>
      </c>
      <c r="U22" s="80">
        <f t="shared" si="19"/>
        <v>1740</v>
      </c>
      <c r="V22" s="80">
        <f t="shared" si="19"/>
        <v>18380.9</v>
      </c>
      <c r="W22" s="80">
        <f t="shared" si="19"/>
        <v>0</v>
      </c>
      <c r="X22" s="80">
        <f t="shared" si="19"/>
        <v>88916.27</v>
      </c>
      <c r="Y22" s="80">
        <f t="shared" si="19"/>
        <v>1951.8</v>
      </c>
      <c r="Z22" s="80">
        <f t="shared" si="19"/>
        <v>7075.33</v>
      </c>
      <c r="AA22" s="80">
        <f t="shared" si="19"/>
        <v>124998.03</v>
      </c>
      <c r="AB22" s="80">
        <f t="shared" si="19"/>
        <v>1499976.36</v>
      </c>
      <c r="AD22" s="2">
        <f>SUM(AD4:AD21)</f>
        <v>84903.96</v>
      </c>
    </row>
    <row r="24" s="3" customFormat="1" ht="67" customHeight="1" spans="1:28">
      <c r="A24" s="81" t="s">
        <v>51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AB24" s="3">
        <f>1500000-AB22</f>
        <v>23.6399999996647</v>
      </c>
    </row>
  </sheetData>
  <mergeCells count="23">
    <mergeCell ref="A1:AB1"/>
    <mergeCell ref="L2:P2"/>
    <mergeCell ref="Q2:V2"/>
    <mergeCell ref="A22:B22"/>
    <mergeCell ref="A24:M2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W2:W3"/>
    <mergeCell ref="X2:X3"/>
    <mergeCell ref="Y2:Y3"/>
    <mergeCell ref="Z2:Z3"/>
    <mergeCell ref="AA2:AA3"/>
    <mergeCell ref="AB2:AB3"/>
    <mergeCell ref="AD2:AD3"/>
  </mergeCells>
  <printOptions horizontalCentered="1"/>
  <pageMargins left="0.0784722222222222" right="0.0784722222222222" top="1" bottom="1" header="0.5" footer="0.5"/>
  <pageSetup paperSize="9" scale="33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N14" sqref="N14"/>
    </sheetView>
  </sheetViews>
  <sheetFormatPr defaultColWidth="9" defaultRowHeight="14.25"/>
  <cols>
    <col min="1" max="1" width="7" customWidth="1"/>
    <col min="2" max="2" width="14.25" customWidth="1"/>
    <col min="3" max="3" width="16.375" customWidth="1"/>
    <col min="4" max="4" width="10.25" customWidth="1"/>
    <col min="5" max="5" width="19.875" customWidth="1"/>
    <col min="6" max="6" width="12.75" customWidth="1"/>
    <col min="7" max="7" width="11" style="53" customWidth="1"/>
    <col min="8" max="8" width="13.125" style="53" customWidth="1"/>
    <col min="9" max="9" width="14" style="53" customWidth="1"/>
    <col min="10" max="10" width="12.125" style="53" customWidth="1"/>
  </cols>
  <sheetData>
    <row r="1" ht="39" customHeight="1" spans="1:10">
      <c r="A1" s="54" t="s">
        <v>52</v>
      </c>
      <c r="B1" s="55"/>
      <c r="C1" s="55"/>
      <c r="D1" s="55"/>
      <c r="E1" s="55"/>
      <c r="F1" s="55"/>
      <c r="G1" s="55"/>
      <c r="H1" s="55"/>
      <c r="I1" s="55"/>
      <c r="J1" s="55"/>
    </row>
    <row r="2" ht="38" customHeight="1" spans="1:10">
      <c r="A2" s="56" t="s">
        <v>1</v>
      </c>
      <c r="B2" s="57" t="s">
        <v>2</v>
      </c>
      <c r="C2" s="58" t="s">
        <v>53</v>
      </c>
      <c r="D2" s="58" t="s">
        <v>54</v>
      </c>
      <c r="E2" s="58" t="s">
        <v>55</v>
      </c>
      <c r="F2" s="58" t="s">
        <v>56</v>
      </c>
      <c r="G2" s="58" t="s">
        <v>57</v>
      </c>
      <c r="H2" s="58" t="s">
        <v>58</v>
      </c>
      <c r="I2" s="58" t="s">
        <v>59</v>
      </c>
      <c r="J2" s="68" t="s">
        <v>60</v>
      </c>
    </row>
    <row r="3" ht="25" customHeight="1" spans="1:10">
      <c r="A3" s="59">
        <v>1</v>
      </c>
      <c r="B3" s="50" t="s">
        <v>61</v>
      </c>
      <c r="C3" s="51" t="s">
        <v>62</v>
      </c>
      <c r="D3" s="50" t="s">
        <v>63</v>
      </c>
      <c r="E3" s="50" t="s">
        <v>64</v>
      </c>
      <c r="F3" s="50">
        <v>78</v>
      </c>
      <c r="G3" s="52">
        <v>84</v>
      </c>
      <c r="H3" s="52">
        <f t="shared" ref="H3:H9" si="0">F3*0.5</f>
        <v>39</v>
      </c>
      <c r="I3" s="52">
        <f t="shared" ref="I3:I9" si="1">G3*0.5</f>
        <v>42</v>
      </c>
      <c r="J3" s="69">
        <f t="shared" ref="J3:J9" si="2">H3+I3</f>
        <v>81</v>
      </c>
    </row>
    <row r="4" ht="25" customHeight="1" spans="1:10">
      <c r="A4" s="59">
        <v>2</v>
      </c>
      <c r="B4" s="50" t="s">
        <v>65</v>
      </c>
      <c r="C4" s="51" t="s">
        <v>66</v>
      </c>
      <c r="D4" s="50" t="s">
        <v>63</v>
      </c>
      <c r="E4" s="50" t="s">
        <v>64</v>
      </c>
      <c r="F4" s="50">
        <v>79</v>
      </c>
      <c r="G4" s="52">
        <v>76.17</v>
      </c>
      <c r="H4" s="52">
        <f t="shared" si="0"/>
        <v>39.5</v>
      </c>
      <c r="I4" s="52">
        <f t="shared" si="1"/>
        <v>38.085</v>
      </c>
      <c r="J4" s="69">
        <f t="shared" si="2"/>
        <v>77.585</v>
      </c>
    </row>
    <row r="5" ht="25" customHeight="1" spans="1:10">
      <c r="A5" s="59">
        <v>3</v>
      </c>
      <c r="B5" s="50" t="s">
        <v>67</v>
      </c>
      <c r="C5" s="51" t="s">
        <v>68</v>
      </c>
      <c r="D5" s="50" t="s">
        <v>63</v>
      </c>
      <c r="E5" s="50" t="s">
        <v>64</v>
      </c>
      <c r="F5" s="50">
        <v>75</v>
      </c>
      <c r="G5" s="52">
        <v>79.25</v>
      </c>
      <c r="H5" s="52">
        <f t="shared" si="0"/>
        <v>37.5</v>
      </c>
      <c r="I5" s="52">
        <f t="shared" si="1"/>
        <v>39.625</v>
      </c>
      <c r="J5" s="69">
        <f t="shared" si="2"/>
        <v>77.125</v>
      </c>
    </row>
    <row r="6" ht="25" customHeight="1" spans="1:10">
      <c r="A6" s="59">
        <v>4</v>
      </c>
      <c r="B6" s="50" t="s">
        <v>69</v>
      </c>
      <c r="C6" s="51" t="s">
        <v>70</v>
      </c>
      <c r="D6" s="50" t="s">
        <v>63</v>
      </c>
      <c r="E6" s="50" t="s">
        <v>64</v>
      </c>
      <c r="F6" s="50">
        <v>76</v>
      </c>
      <c r="G6" s="52">
        <v>72</v>
      </c>
      <c r="H6" s="52">
        <f t="shared" si="0"/>
        <v>38</v>
      </c>
      <c r="I6" s="52">
        <f t="shared" si="1"/>
        <v>36</v>
      </c>
      <c r="J6" s="69">
        <f t="shared" si="2"/>
        <v>74</v>
      </c>
    </row>
    <row r="7" ht="25" customHeight="1" spans="1:10">
      <c r="A7" s="59">
        <v>5</v>
      </c>
      <c r="B7" s="50" t="s">
        <v>71</v>
      </c>
      <c r="C7" s="51" t="s">
        <v>72</v>
      </c>
      <c r="D7" s="50" t="s">
        <v>73</v>
      </c>
      <c r="E7" s="50" t="s">
        <v>64</v>
      </c>
      <c r="F7" s="50">
        <v>74</v>
      </c>
      <c r="G7" s="52">
        <v>71</v>
      </c>
      <c r="H7" s="52">
        <f t="shared" si="0"/>
        <v>37</v>
      </c>
      <c r="I7" s="52">
        <f t="shared" si="1"/>
        <v>35.5</v>
      </c>
      <c r="J7" s="69">
        <f t="shared" si="2"/>
        <v>72.5</v>
      </c>
    </row>
    <row r="8" ht="25" customHeight="1" spans="1:10">
      <c r="A8" s="59">
        <v>6</v>
      </c>
      <c r="B8" s="50" t="s">
        <v>74</v>
      </c>
      <c r="C8" s="51" t="s">
        <v>75</v>
      </c>
      <c r="D8" s="50" t="s">
        <v>63</v>
      </c>
      <c r="E8" s="50" t="s">
        <v>64</v>
      </c>
      <c r="F8" s="50">
        <v>74</v>
      </c>
      <c r="G8" s="52">
        <v>68.33</v>
      </c>
      <c r="H8" s="52">
        <f t="shared" si="0"/>
        <v>37</v>
      </c>
      <c r="I8" s="52">
        <f t="shared" si="1"/>
        <v>34.165</v>
      </c>
      <c r="J8" s="69">
        <f t="shared" si="2"/>
        <v>71.165</v>
      </c>
    </row>
    <row r="9" ht="25" customHeight="1" spans="1:10">
      <c r="A9" s="60">
        <v>7</v>
      </c>
      <c r="B9" s="61" t="s">
        <v>76</v>
      </c>
      <c r="C9" s="62" t="s">
        <v>77</v>
      </c>
      <c r="D9" s="61" t="s">
        <v>73</v>
      </c>
      <c r="E9" s="61" t="s">
        <v>64</v>
      </c>
      <c r="F9" s="61">
        <v>75</v>
      </c>
      <c r="G9" s="63">
        <v>65.42</v>
      </c>
      <c r="H9" s="63">
        <f t="shared" si="0"/>
        <v>37.5</v>
      </c>
      <c r="I9" s="63">
        <f t="shared" si="1"/>
        <v>32.71</v>
      </c>
      <c r="J9" s="70">
        <f t="shared" si="2"/>
        <v>70.21</v>
      </c>
    </row>
    <row r="10" ht="25" customHeight="1" spans="1:10">
      <c r="A10" s="64">
        <v>8</v>
      </c>
      <c r="B10" s="65" t="s">
        <v>78</v>
      </c>
      <c r="C10" s="66" t="s">
        <v>79</v>
      </c>
      <c r="D10" s="65" t="s">
        <v>63</v>
      </c>
      <c r="E10" s="65" t="s">
        <v>80</v>
      </c>
      <c r="F10" s="65">
        <v>81</v>
      </c>
      <c r="G10" s="67">
        <v>77.67</v>
      </c>
      <c r="H10" s="67">
        <f t="shared" ref="H10:H16" si="3">F10*0.5</f>
        <v>40.5</v>
      </c>
      <c r="I10" s="67">
        <f t="shared" ref="I10:I16" si="4">G10*0.5</f>
        <v>38.835</v>
      </c>
      <c r="J10" s="69">
        <f t="shared" ref="J10:J16" si="5">H10+I10</f>
        <v>79.335</v>
      </c>
    </row>
    <row r="11" ht="25" customHeight="1" spans="1:10">
      <c r="A11" s="59">
        <v>9</v>
      </c>
      <c r="B11" s="50" t="s">
        <v>81</v>
      </c>
      <c r="C11" s="51" t="s">
        <v>82</v>
      </c>
      <c r="D11" s="50" t="s">
        <v>63</v>
      </c>
      <c r="E11" s="50" t="s">
        <v>80</v>
      </c>
      <c r="F11" s="50">
        <v>69</v>
      </c>
      <c r="G11" s="52">
        <v>87</v>
      </c>
      <c r="H11" s="52">
        <f t="shared" si="3"/>
        <v>34.5</v>
      </c>
      <c r="I11" s="52">
        <f t="shared" si="4"/>
        <v>43.5</v>
      </c>
      <c r="J11" s="69">
        <f t="shared" si="5"/>
        <v>78</v>
      </c>
    </row>
    <row r="12" ht="25" customHeight="1" spans="1:10">
      <c r="A12" s="59">
        <v>10</v>
      </c>
      <c r="B12" s="50" t="s">
        <v>83</v>
      </c>
      <c r="C12" s="51" t="s">
        <v>84</v>
      </c>
      <c r="D12" s="50" t="s">
        <v>63</v>
      </c>
      <c r="E12" s="50" t="s">
        <v>80</v>
      </c>
      <c r="F12" s="50">
        <v>72</v>
      </c>
      <c r="G12" s="52">
        <v>77</v>
      </c>
      <c r="H12" s="52">
        <f t="shared" si="3"/>
        <v>36</v>
      </c>
      <c r="I12" s="52">
        <f t="shared" si="4"/>
        <v>38.5</v>
      </c>
      <c r="J12" s="69">
        <f t="shared" si="5"/>
        <v>74.5</v>
      </c>
    </row>
    <row r="13" ht="25" customHeight="1" spans="1:10">
      <c r="A13" s="59">
        <v>11</v>
      </c>
      <c r="B13" s="50" t="s">
        <v>85</v>
      </c>
      <c r="C13" s="51" t="s">
        <v>86</v>
      </c>
      <c r="D13" s="50" t="s">
        <v>63</v>
      </c>
      <c r="E13" s="50" t="s">
        <v>80</v>
      </c>
      <c r="F13" s="50">
        <v>73</v>
      </c>
      <c r="G13" s="52">
        <v>74.33</v>
      </c>
      <c r="H13" s="52">
        <f t="shared" si="3"/>
        <v>36.5</v>
      </c>
      <c r="I13" s="52">
        <f t="shared" si="4"/>
        <v>37.165</v>
      </c>
      <c r="J13" s="69">
        <f t="shared" si="5"/>
        <v>73.665</v>
      </c>
    </row>
    <row r="14" ht="25" customHeight="1" spans="1:10">
      <c r="A14" s="59">
        <v>12</v>
      </c>
      <c r="B14" s="50" t="s">
        <v>87</v>
      </c>
      <c r="C14" s="51" t="s">
        <v>88</v>
      </c>
      <c r="D14" s="50" t="s">
        <v>73</v>
      </c>
      <c r="E14" s="50" t="s">
        <v>80</v>
      </c>
      <c r="F14" s="50">
        <v>81</v>
      </c>
      <c r="G14" s="52">
        <v>65.5</v>
      </c>
      <c r="H14" s="52">
        <f t="shared" si="3"/>
        <v>40.5</v>
      </c>
      <c r="I14" s="52">
        <f t="shared" si="4"/>
        <v>32.75</v>
      </c>
      <c r="J14" s="69">
        <f t="shared" si="5"/>
        <v>73.25</v>
      </c>
    </row>
    <row r="15" ht="25" customHeight="1" spans="1:10">
      <c r="A15" s="59">
        <v>13</v>
      </c>
      <c r="B15" s="50" t="s">
        <v>89</v>
      </c>
      <c r="C15" s="51" t="s">
        <v>90</v>
      </c>
      <c r="D15" s="50" t="s">
        <v>63</v>
      </c>
      <c r="E15" s="50" t="s">
        <v>80</v>
      </c>
      <c r="F15" s="50">
        <v>75</v>
      </c>
      <c r="G15" s="52">
        <v>70.5</v>
      </c>
      <c r="H15" s="52">
        <f t="shared" si="3"/>
        <v>37.5</v>
      </c>
      <c r="I15" s="52">
        <f t="shared" si="4"/>
        <v>35.25</v>
      </c>
      <c r="J15" s="69">
        <f t="shared" si="5"/>
        <v>72.75</v>
      </c>
    </row>
    <row r="16" ht="25" customHeight="1" spans="1:10">
      <c r="A16" s="60">
        <v>14</v>
      </c>
      <c r="B16" s="61" t="s">
        <v>91</v>
      </c>
      <c r="C16" s="62" t="s">
        <v>92</v>
      </c>
      <c r="D16" s="61" t="s">
        <v>63</v>
      </c>
      <c r="E16" s="61" t="s">
        <v>80</v>
      </c>
      <c r="F16" s="61">
        <v>69</v>
      </c>
      <c r="G16" s="63">
        <v>76.5</v>
      </c>
      <c r="H16" s="63">
        <f t="shared" si="3"/>
        <v>34.5</v>
      </c>
      <c r="I16" s="63">
        <f t="shared" si="4"/>
        <v>38.25</v>
      </c>
      <c r="J16" s="70">
        <f t="shared" si="5"/>
        <v>72.75</v>
      </c>
    </row>
  </sheetData>
  <sortState ref="A3:J9">
    <sortCondition ref="J3:J9" descending="1"/>
  </sortState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10"/>
  <sheetViews>
    <sheetView workbookViewId="0">
      <selection activeCell="A4" sqref="$A4:$XFD10"/>
    </sheetView>
  </sheetViews>
  <sheetFormatPr defaultColWidth="9" defaultRowHeight="14.25"/>
  <cols>
    <col min="2" max="11" width="12.875" customWidth="1"/>
  </cols>
  <sheetData>
    <row r="3" spans="1:10">
      <c r="A3" s="48" t="s">
        <v>1</v>
      </c>
      <c r="B3" s="48" t="s">
        <v>2</v>
      </c>
      <c r="C3" s="49" t="s">
        <v>53</v>
      </c>
      <c r="D3" s="49" t="s">
        <v>54</v>
      </c>
      <c r="E3" s="49" t="s">
        <v>55</v>
      </c>
      <c r="F3" s="49" t="s">
        <v>56</v>
      </c>
      <c r="G3" s="49" t="s">
        <v>57</v>
      </c>
      <c r="H3" s="49" t="s">
        <v>58</v>
      </c>
      <c r="I3" s="49" t="s">
        <v>59</v>
      </c>
      <c r="J3" s="49" t="s">
        <v>60</v>
      </c>
    </row>
    <row r="4" ht="25" customHeight="1" spans="1:10">
      <c r="A4" s="50">
        <v>9</v>
      </c>
      <c r="B4" s="50" t="s">
        <v>78</v>
      </c>
      <c r="C4" s="51" t="s">
        <v>79</v>
      </c>
      <c r="D4" s="50" t="s">
        <v>63</v>
      </c>
      <c r="E4" s="50" t="s">
        <v>80</v>
      </c>
      <c r="F4" s="50">
        <v>81</v>
      </c>
      <c r="G4" s="52">
        <v>77.67</v>
      </c>
      <c r="H4" s="52">
        <f t="shared" ref="H4:H10" si="0">F4*0.5</f>
        <v>40.5</v>
      </c>
      <c r="I4" s="52">
        <f t="shared" ref="I4:I10" si="1">G4*0.5</f>
        <v>38.835</v>
      </c>
      <c r="J4" s="52">
        <f t="shared" ref="J4:J10" si="2">H4+I4</f>
        <v>79.335</v>
      </c>
    </row>
    <row r="5" ht="25" customHeight="1" spans="1:10">
      <c r="A5" s="50">
        <v>14</v>
      </c>
      <c r="B5" s="50" t="s">
        <v>81</v>
      </c>
      <c r="C5" s="51" t="s">
        <v>82</v>
      </c>
      <c r="D5" s="50" t="s">
        <v>63</v>
      </c>
      <c r="E5" s="50" t="s">
        <v>80</v>
      </c>
      <c r="F5" s="50">
        <v>69</v>
      </c>
      <c r="G5" s="52">
        <v>87</v>
      </c>
      <c r="H5" s="52">
        <f t="shared" si="0"/>
        <v>34.5</v>
      </c>
      <c r="I5" s="52">
        <f t="shared" si="1"/>
        <v>43.5</v>
      </c>
      <c r="J5" s="52">
        <f t="shared" si="2"/>
        <v>78</v>
      </c>
    </row>
    <row r="6" ht="25" customHeight="1" spans="1:10">
      <c r="A6" s="50">
        <v>12</v>
      </c>
      <c r="B6" s="50" t="s">
        <v>83</v>
      </c>
      <c r="C6" s="51" t="s">
        <v>84</v>
      </c>
      <c r="D6" s="50" t="s">
        <v>63</v>
      </c>
      <c r="E6" s="50" t="s">
        <v>80</v>
      </c>
      <c r="F6" s="50">
        <v>72</v>
      </c>
      <c r="G6" s="52">
        <v>77</v>
      </c>
      <c r="H6" s="52">
        <f t="shared" si="0"/>
        <v>36</v>
      </c>
      <c r="I6" s="52">
        <f t="shared" si="1"/>
        <v>38.5</v>
      </c>
      <c r="J6" s="52">
        <f t="shared" si="2"/>
        <v>74.5</v>
      </c>
    </row>
    <row r="7" ht="25" customHeight="1" spans="1:10">
      <c r="A7" s="50">
        <v>11</v>
      </c>
      <c r="B7" s="50" t="s">
        <v>85</v>
      </c>
      <c r="C7" s="51" t="s">
        <v>86</v>
      </c>
      <c r="D7" s="50" t="s">
        <v>63</v>
      </c>
      <c r="E7" s="50" t="s">
        <v>80</v>
      </c>
      <c r="F7" s="50">
        <v>73</v>
      </c>
      <c r="G7" s="52">
        <v>74.33</v>
      </c>
      <c r="H7" s="52">
        <f t="shared" si="0"/>
        <v>36.5</v>
      </c>
      <c r="I7" s="52">
        <f t="shared" si="1"/>
        <v>37.165</v>
      </c>
      <c r="J7" s="52">
        <f t="shared" si="2"/>
        <v>73.665</v>
      </c>
    </row>
    <row r="8" ht="25" customHeight="1" spans="1:10">
      <c r="A8" s="50">
        <v>8</v>
      </c>
      <c r="B8" s="50" t="s">
        <v>87</v>
      </c>
      <c r="C8" s="51" t="s">
        <v>88</v>
      </c>
      <c r="D8" s="50" t="s">
        <v>73</v>
      </c>
      <c r="E8" s="50" t="s">
        <v>80</v>
      </c>
      <c r="F8" s="50">
        <v>81</v>
      </c>
      <c r="G8" s="52">
        <v>65.5</v>
      </c>
      <c r="H8" s="52">
        <f t="shared" si="0"/>
        <v>40.5</v>
      </c>
      <c r="I8" s="52">
        <f t="shared" si="1"/>
        <v>32.75</v>
      </c>
      <c r="J8" s="52">
        <f t="shared" si="2"/>
        <v>73.25</v>
      </c>
    </row>
    <row r="9" ht="25" customHeight="1" spans="1:10">
      <c r="A9" s="50">
        <v>10</v>
      </c>
      <c r="B9" s="50" t="s">
        <v>89</v>
      </c>
      <c r="C9" s="51" t="s">
        <v>90</v>
      </c>
      <c r="D9" s="50" t="s">
        <v>63</v>
      </c>
      <c r="E9" s="50" t="s">
        <v>80</v>
      </c>
      <c r="F9" s="50">
        <v>75</v>
      </c>
      <c r="G9" s="52">
        <v>70.5</v>
      </c>
      <c r="H9" s="52">
        <f t="shared" si="0"/>
        <v>37.5</v>
      </c>
      <c r="I9" s="52">
        <f t="shared" si="1"/>
        <v>35.25</v>
      </c>
      <c r="J9" s="52">
        <f t="shared" si="2"/>
        <v>72.75</v>
      </c>
    </row>
    <row r="10" ht="25" customHeight="1" spans="1:10">
      <c r="A10" s="50">
        <v>13</v>
      </c>
      <c r="B10" s="50" t="s">
        <v>91</v>
      </c>
      <c r="C10" s="51" t="s">
        <v>92</v>
      </c>
      <c r="D10" s="50" t="s">
        <v>63</v>
      </c>
      <c r="E10" s="50" t="s">
        <v>80</v>
      </c>
      <c r="F10" s="50">
        <v>69</v>
      </c>
      <c r="G10" s="52">
        <v>76.5</v>
      </c>
      <c r="H10" s="52">
        <f t="shared" si="0"/>
        <v>34.5</v>
      </c>
      <c r="I10" s="52">
        <f t="shared" si="1"/>
        <v>38.25</v>
      </c>
      <c r="J10" s="52">
        <f t="shared" si="2"/>
        <v>72.75</v>
      </c>
    </row>
  </sheetData>
  <sortState ref="A4:J10">
    <sortCondition ref="J4:J10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C16" sqref="C16"/>
    </sheetView>
  </sheetViews>
  <sheetFormatPr defaultColWidth="9" defaultRowHeight="14.25" outlineLevelCol="2"/>
  <cols>
    <col min="1" max="1" width="11.5" style="45" customWidth="1"/>
    <col min="3" max="3" width="11.5" style="45" customWidth="1"/>
  </cols>
  <sheetData>
    <row r="1" ht="48" customHeight="1" spans="1:3">
      <c r="A1" s="46" t="s">
        <v>93</v>
      </c>
      <c r="C1" s="46" t="s">
        <v>94</v>
      </c>
    </row>
    <row r="2" spans="1:3">
      <c r="A2" s="25" t="s">
        <v>20</v>
      </c>
      <c r="C2" s="25" t="s">
        <v>20</v>
      </c>
    </row>
    <row r="3" spans="1:3">
      <c r="A3" s="25"/>
      <c r="C3" s="25"/>
    </row>
    <row r="4" spans="1:3">
      <c r="A4" s="47">
        <v>6812.64</v>
      </c>
      <c r="C4" s="46">
        <v>6616.8</v>
      </c>
    </row>
    <row r="5" spans="1:3">
      <c r="A5" s="47">
        <v>6812.64</v>
      </c>
      <c r="C5" s="46">
        <v>6616.8</v>
      </c>
    </row>
    <row r="6" spans="1:3">
      <c r="A6" s="47">
        <v>6812.64</v>
      </c>
      <c r="C6" s="46">
        <v>6616.8</v>
      </c>
    </row>
    <row r="7" spans="1:3">
      <c r="A7" s="47">
        <v>5573.52</v>
      </c>
      <c r="C7" s="46">
        <v>5377.68</v>
      </c>
    </row>
    <row r="8" spans="1:3">
      <c r="A8" s="47">
        <v>5573.52</v>
      </c>
      <c r="C8" s="46">
        <v>5377.68</v>
      </c>
    </row>
    <row r="9" spans="1:3">
      <c r="A9" s="47">
        <v>5573.52</v>
      </c>
      <c r="C9" s="46">
        <v>5377.68</v>
      </c>
    </row>
    <row r="10" spans="1:3">
      <c r="A10" s="47">
        <v>5510.16</v>
      </c>
      <c r="C10" s="46">
        <v>5314.32</v>
      </c>
    </row>
    <row r="11" spans="1:3">
      <c r="A11" s="47">
        <v>5510.16</v>
      </c>
      <c r="C11" s="46">
        <v>5314.32</v>
      </c>
    </row>
    <row r="12" spans="1:3">
      <c r="A12" s="47">
        <v>5510.16</v>
      </c>
      <c r="C12" s="46">
        <v>5314.32</v>
      </c>
    </row>
    <row r="13" spans="1:3">
      <c r="A13" s="47">
        <v>5510.16</v>
      </c>
      <c r="C13" s="46">
        <v>5314.32</v>
      </c>
    </row>
    <row r="14" spans="1:3">
      <c r="A14" s="47">
        <v>5510.16</v>
      </c>
      <c r="C14" s="46">
        <v>5314.32</v>
      </c>
    </row>
    <row r="15" spans="1:3">
      <c r="A15" s="47">
        <v>5510.16</v>
      </c>
      <c r="C15" s="46">
        <v>5314.32</v>
      </c>
    </row>
    <row r="16" spans="1:3">
      <c r="A16" s="47">
        <v>4479.84</v>
      </c>
      <c r="C16" s="46">
        <v>4284</v>
      </c>
    </row>
    <row r="17" spans="1:3">
      <c r="A17" s="47">
        <v>4479.84</v>
      </c>
      <c r="C17" s="46">
        <v>4284</v>
      </c>
    </row>
    <row r="18" spans="1:3">
      <c r="A18" s="47">
        <v>5510.16</v>
      </c>
      <c r="C18" s="46">
        <v>5314.32</v>
      </c>
    </row>
    <row r="19" spans="1:3">
      <c r="A19" s="47">
        <v>5510.16</v>
      </c>
      <c r="C19" s="46">
        <v>5314.32</v>
      </c>
    </row>
    <row r="20" spans="1:3">
      <c r="A20" s="47">
        <v>5510.16</v>
      </c>
      <c r="C20" s="46">
        <v>5314.32</v>
      </c>
    </row>
    <row r="21" spans="1:3">
      <c r="A21" s="47">
        <v>5510.16</v>
      </c>
      <c r="C21" s="46">
        <v>5314.32</v>
      </c>
    </row>
    <row r="22" spans="1:3">
      <c r="A22" s="47">
        <v>101219.76</v>
      </c>
      <c r="C22" s="46">
        <v>97694.64</v>
      </c>
    </row>
  </sheetData>
  <mergeCells count="2">
    <mergeCell ref="A2:A3"/>
    <mergeCell ref="C2:C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workbookViewId="0">
      <selection activeCell="J21" sqref="J21"/>
    </sheetView>
  </sheetViews>
  <sheetFormatPr defaultColWidth="9" defaultRowHeight="13.5"/>
  <cols>
    <col min="1" max="3" width="9" style="3"/>
    <col min="4" max="4" width="29.625" style="3" customWidth="1"/>
    <col min="5" max="7" width="8.625" style="3" customWidth="1"/>
    <col min="8" max="9" width="9.25" style="3"/>
    <col min="10" max="10" width="10" style="3" customWidth="1"/>
    <col min="11" max="21" width="8.625" style="3" customWidth="1"/>
    <col min="22" max="22" width="9" style="3"/>
    <col min="23" max="23" width="9.25" style="3"/>
    <col min="24" max="25" width="9" style="3"/>
    <col min="26" max="27" width="9.5" style="3" customWidth="1"/>
    <col min="28" max="29" width="9.375" style="3" customWidth="1"/>
    <col min="30" max="30" width="11.125" style="3"/>
    <col min="31" max="31" width="11" style="3" customWidth="1"/>
    <col min="32" max="16384" width="9" style="3"/>
  </cols>
  <sheetData>
    <row r="1" s="1" customFormat="1" ht="29" customHeight="1" spans="1:31">
      <c r="A1" s="4" t="s">
        <v>95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14.25" spans="1:31">
      <c r="A2" s="6" t="s">
        <v>1</v>
      </c>
      <c r="B2" s="7" t="s">
        <v>2</v>
      </c>
      <c r="C2" s="7" t="s">
        <v>96</v>
      </c>
      <c r="D2" s="7" t="s">
        <v>3</v>
      </c>
      <c r="E2" s="7" t="s">
        <v>4</v>
      </c>
      <c r="F2" s="7" t="s">
        <v>97</v>
      </c>
      <c r="G2" s="7" t="s">
        <v>8</v>
      </c>
      <c r="H2" s="8" t="s">
        <v>9</v>
      </c>
      <c r="I2" s="27" t="s">
        <v>10</v>
      </c>
      <c r="J2" s="27" t="s">
        <v>11</v>
      </c>
      <c r="K2" s="28" t="s">
        <v>12</v>
      </c>
      <c r="L2" s="28"/>
      <c r="M2" s="28"/>
      <c r="N2" s="28"/>
      <c r="O2" s="28"/>
      <c r="P2" s="28" t="s">
        <v>13</v>
      </c>
      <c r="Q2" s="28"/>
      <c r="R2" s="28"/>
      <c r="S2" s="28"/>
      <c r="T2" s="28"/>
      <c r="U2" s="28"/>
      <c r="V2" s="25" t="s">
        <v>14</v>
      </c>
      <c r="W2" s="37" t="s">
        <v>15</v>
      </c>
      <c r="X2" s="37" t="s">
        <v>16</v>
      </c>
      <c r="Y2" s="37" t="s">
        <v>98</v>
      </c>
      <c r="Z2" s="37" t="s">
        <v>99</v>
      </c>
      <c r="AA2" s="37" t="s">
        <v>100</v>
      </c>
      <c r="AB2" s="37" t="s">
        <v>101</v>
      </c>
      <c r="AC2" s="39" t="s">
        <v>18</v>
      </c>
      <c r="AD2" s="39" t="s">
        <v>18</v>
      </c>
      <c r="AE2" s="40" t="s">
        <v>19</v>
      </c>
    </row>
    <row r="3" s="1" customFormat="1" ht="24" spans="1:31">
      <c r="A3" s="9"/>
      <c r="B3" s="10"/>
      <c r="C3" s="10"/>
      <c r="D3" s="10"/>
      <c r="E3" s="10"/>
      <c r="F3" s="10"/>
      <c r="G3" s="10"/>
      <c r="H3" s="11"/>
      <c r="I3" s="29"/>
      <c r="J3" s="29"/>
      <c r="K3" s="28" t="s">
        <v>102</v>
      </c>
      <c r="L3" s="28" t="s">
        <v>103</v>
      </c>
      <c r="M3" s="28" t="s">
        <v>23</v>
      </c>
      <c r="N3" s="28" t="s">
        <v>104</v>
      </c>
      <c r="O3" s="28" t="s">
        <v>105</v>
      </c>
      <c r="P3" s="28" t="s">
        <v>106</v>
      </c>
      <c r="Q3" s="28" t="s">
        <v>107</v>
      </c>
      <c r="R3" s="28" t="s">
        <v>108</v>
      </c>
      <c r="S3" s="28" t="s">
        <v>109</v>
      </c>
      <c r="T3" s="28" t="s">
        <v>104</v>
      </c>
      <c r="U3" s="28" t="s">
        <v>110</v>
      </c>
      <c r="V3" s="25"/>
      <c r="W3" s="38"/>
      <c r="X3" s="38"/>
      <c r="Y3" s="38"/>
      <c r="Z3" s="38"/>
      <c r="AA3" s="38"/>
      <c r="AB3" s="38"/>
      <c r="AC3" s="41"/>
      <c r="AD3" s="41"/>
      <c r="AE3" s="40"/>
    </row>
    <row r="4" s="2" customFormat="1" ht="15" customHeight="1" spans="1:31">
      <c r="A4" s="12">
        <v>1</v>
      </c>
      <c r="B4" s="13" t="s">
        <v>31</v>
      </c>
      <c r="C4" s="14"/>
      <c r="D4" s="13" t="s">
        <v>111</v>
      </c>
      <c r="E4" s="13">
        <v>5200</v>
      </c>
      <c r="F4" s="13"/>
      <c r="G4" s="13">
        <v>175</v>
      </c>
      <c r="H4" s="15">
        <f t="shared" ref="H4:H21" si="0">SUM(E4:G4)</f>
        <v>5375</v>
      </c>
      <c r="I4" s="15">
        <f>VLOOKUP(B:B,'[1]12月四险一金14人'!$B:$C,2,0)</f>
        <v>5000</v>
      </c>
      <c r="J4" s="15">
        <f>VLOOKUP(B:B,'[1]12月四险一金14人'!$B:$E,4,0)</f>
        <v>3000</v>
      </c>
      <c r="K4" s="30">
        <f t="shared" ref="K4:K21" si="1">ROUND(I4*8%,2)</f>
        <v>400</v>
      </c>
      <c r="L4" s="30">
        <f t="shared" ref="L4:L21" si="2">ROUND(I4*2%,2)</f>
        <v>100</v>
      </c>
      <c r="M4" s="30">
        <f t="shared" ref="M4:M21" si="3">ROUND(I4*0.5%,2)</f>
        <v>25</v>
      </c>
      <c r="N4" s="30">
        <f t="shared" ref="N4:N21" si="4">ROUND(J4*5%,0)</f>
        <v>150</v>
      </c>
      <c r="O4" s="31">
        <f t="shared" ref="O4:O21" si="5">SUM(K4:N4)</f>
        <v>675</v>
      </c>
      <c r="P4" s="30">
        <f t="shared" ref="P4:P21" si="6">ROUND(I4*16%,2)</f>
        <v>800</v>
      </c>
      <c r="Q4" s="30">
        <f t="shared" ref="Q4:Q21" si="7">ROUND(I4*8.5%,2)</f>
        <v>425</v>
      </c>
      <c r="R4" s="30">
        <f t="shared" ref="R4:R21" si="8">ROUND(I4*0.5%,2)</f>
        <v>25</v>
      </c>
      <c r="S4" s="30">
        <f t="shared" ref="S4:S21" si="9">ROUND(I4*0.2%,2)</f>
        <v>10</v>
      </c>
      <c r="T4" s="30">
        <f t="shared" ref="T4:T21" si="10">N4</f>
        <v>150</v>
      </c>
      <c r="U4" s="31">
        <f t="shared" ref="U4:U21" si="11">SUM(P4:T4)</f>
        <v>1410</v>
      </c>
      <c r="V4" s="18">
        <v>0</v>
      </c>
      <c r="W4" s="18">
        <f t="shared" ref="W4:W21" si="12">H4-O4-V4</f>
        <v>4700</v>
      </c>
      <c r="X4" s="18">
        <f t="shared" ref="X4:X21" si="13">ROUND(SUM(H4)*2%,2)</f>
        <v>107.5</v>
      </c>
      <c r="Y4" s="18">
        <f t="shared" ref="Y4:Y21" si="14">ROUND(SUM(H4)*1.5%,2)</f>
        <v>80.63</v>
      </c>
      <c r="Z4" s="18">
        <f t="shared" ref="Z4:Z21" si="15">ROUND(SUM(H4+U4+X4+Y4)*1.28%,2)</f>
        <v>89.26</v>
      </c>
      <c r="AA4" s="18">
        <f t="shared" ref="AA4:AA21" si="16">ROUND(SUM(H4+U4+X4+Y4)*8%,2)</f>
        <v>557.85</v>
      </c>
      <c r="AB4" s="18">
        <f t="shared" ref="AB4:AB21" si="17">ROUND(SUM(H4+U4+X4+Y4)*6.72%,2)</f>
        <v>468.59</v>
      </c>
      <c r="AC4" s="18">
        <f t="shared" ref="AC4:AC21" si="18">ROUND(SUM(H4+U4+X4+Y4+Z4+AA4+AB4),2)</f>
        <v>8088.83</v>
      </c>
      <c r="AD4" s="42">
        <f t="shared" ref="AD4:AD21" si="19">SUM(AC4)</f>
        <v>8088.83</v>
      </c>
      <c r="AE4" s="42">
        <f t="shared" ref="AE4:AE21" si="20">AD4*12</f>
        <v>97065.96</v>
      </c>
    </row>
    <row r="5" s="2" customFormat="1" ht="15" customHeight="1" spans="1:31">
      <c r="A5" s="12">
        <v>2</v>
      </c>
      <c r="B5" s="13" t="s">
        <v>33</v>
      </c>
      <c r="C5" s="14"/>
      <c r="D5" s="13" t="s">
        <v>111</v>
      </c>
      <c r="E5" s="13">
        <v>5200</v>
      </c>
      <c r="F5" s="13"/>
      <c r="G5" s="13">
        <v>175</v>
      </c>
      <c r="H5" s="15">
        <f t="shared" si="0"/>
        <v>5375</v>
      </c>
      <c r="I5" s="15">
        <f>VLOOKUP(B:B,'[1]12月四险一金14人'!$B:$C,2,0)</f>
        <v>5000</v>
      </c>
      <c r="J5" s="15">
        <f>VLOOKUP(B:B,'[1]12月四险一金14人'!$B:$E,4,0)</f>
        <v>3000</v>
      </c>
      <c r="K5" s="30">
        <f t="shared" si="1"/>
        <v>400</v>
      </c>
      <c r="L5" s="30">
        <f t="shared" si="2"/>
        <v>100</v>
      </c>
      <c r="M5" s="30">
        <f t="shared" si="3"/>
        <v>25</v>
      </c>
      <c r="N5" s="30">
        <f t="shared" si="4"/>
        <v>150</v>
      </c>
      <c r="O5" s="31">
        <f t="shared" si="5"/>
        <v>675</v>
      </c>
      <c r="P5" s="30">
        <f t="shared" si="6"/>
        <v>800</v>
      </c>
      <c r="Q5" s="30">
        <f t="shared" si="7"/>
        <v>425</v>
      </c>
      <c r="R5" s="30">
        <f t="shared" si="8"/>
        <v>25</v>
      </c>
      <c r="S5" s="30">
        <f t="shared" si="9"/>
        <v>10</v>
      </c>
      <c r="T5" s="30">
        <f t="shared" si="10"/>
        <v>150</v>
      </c>
      <c r="U5" s="31">
        <f t="shared" si="11"/>
        <v>1410</v>
      </c>
      <c r="V5" s="18">
        <v>0</v>
      </c>
      <c r="W5" s="18">
        <f t="shared" si="12"/>
        <v>4700</v>
      </c>
      <c r="X5" s="18">
        <f t="shared" si="13"/>
        <v>107.5</v>
      </c>
      <c r="Y5" s="18">
        <f t="shared" si="14"/>
        <v>80.63</v>
      </c>
      <c r="Z5" s="18">
        <f t="shared" si="15"/>
        <v>89.26</v>
      </c>
      <c r="AA5" s="18">
        <f t="shared" si="16"/>
        <v>557.85</v>
      </c>
      <c r="AB5" s="18">
        <f t="shared" si="17"/>
        <v>468.59</v>
      </c>
      <c r="AC5" s="18">
        <f t="shared" si="18"/>
        <v>8088.83</v>
      </c>
      <c r="AD5" s="42">
        <f t="shared" si="19"/>
        <v>8088.83</v>
      </c>
      <c r="AE5" s="42">
        <f t="shared" si="20"/>
        <v>97065.96</v>
      </c>
    </row>
    <row r="6" s="2" customFormat="1" ht="15" customHeight="1" spans="1:31">
      <c r="A6" s="12">
        <v>3</v>
      </c>
      <c r="B6" s="13" t="s">
        <v>34</v>
      </c>
      <c r="C6" s="14"/>
      <c r="D6" s="13" t="s">
        <v>111</v>
      </c>
      <c r="E6" s="13">
        <v>5200</v>
      </c>
      <c r="F6" s="13"/>
      <c r="G6" s="13">
        <v>175</v>
      </c>
      <c r="H6" s="15">
        <f t="shared" si="0"/>
        <v>5375</v>
      </c>
      <c r="I6" s="15">
        <f>VLOOKUP(B:B,'[1]12月四险一金14人'!$B:$C,2,0)</f>
        <v>5000</v>
      </c>
      <c r="J6" s="15">
        <f>VLOOKUP(B:B,'[1]12月四险一金14人'!$B:$E,4,0)</f>
        <v>3000</v>
      </c>
      <c r="K6" s="30">
        <f t="shared" si="1"/>
        <v>400</v>
      </c>
      <c r="L6" s="30">
        <f t="shared" si="2"/>
        <v>100</v>
      </c>
      <c r="M6" s="30">
        <f t="shared" si="3"/>
        <v>25</v>
      </c>
      <c r="N6" s="30">
        <f t="shared" si="4"/>
        <v>150</v>
      </c>
      <c r="O6" s="31">
        <f t="shared" si="5"/>
        <v>675</v>
      </c>
      <c r="P6" s="30">
        <f t="shared" si="6"/>
        <v>800</v>
      </c>
      <c r="Q6" s="30">
        <f t="shared" si="7"/>
        <v>425</v>
      </c>
      <c r="R6" s="30">
        <f t="shared" si="8"/>
        <v>25</v>
      </c>
      <c r="S6" s="30">
        <f t="shared" si="9"/>
        <v>10</v>
      </c>
      <c r="T6" s="30">
        <f t="shared" si="10"/>
        <v>150</v>
      </c>
      <c r="U6" s="31">
        <f t="shared" si="11"/>
        <v>1410</v>
      </c>
      <c r="V6" s="18">
        <v>0</v>
      </c>
      <c r="W6" s="18">
        <f t="shared" si="12"/>
        <v>4700</v>
      </c>
      <c r="X6" s="18">
        <f t="shared" si="13"/>
        <v>107.5</v>
      </c>
      <c r="Y6" s="18">
        <f t="shared" si="14"/>
        <v>80.63</v>
      </c>
      <c r="Z6" s="18">
        <f t="shared" si="15"/>
        <v>89.26</v>
      </c>
      <c r="AA6" s="18">
        <f t="shared" si="16"/>
        <v>557.85</v>
      </c>
      <c r="AB6" s="18">
        <f t="shared" si="17"/>
        <v>468.59</v>
      </c>
      <c r="AC6" s="18">
        <f t="shared" si="18"/>
        <v>8088.83</v>
      </c>
      <c r="AD6" s="42">
        <f t="shared" si="19"/>
        <v>8088.83</v>
      </c>
      <c r="AE6" s="42">
        <f t="shared" si="20"/>
        <v>97065.96</v>
      </c>
    </row>
    <row r="7" s="2" customFormat="1" ht="15" customHeight="1" spans="1:31">
      <c r="A7" s="12">
        <v>4</v>
      </c>
      <c r="B7" s="13" t="s">
        <v>35</v>
      </c>
      <c r="C7" s="14"/>
      <c r="D7" s="13" t="s">
        <v>111</v>
      </c>
      <c r="E7" s="13">
        <v>4200</v>
      </c>
      <c r="F7" s="13"/>
      <c r="G7" s="13">
        <v>175</v>
      </c>
      <c r="H7" s="15">
        <f t="shared" si="0"/>
        <v>4375</v>
      </c>
      <c r="I7" s="15">
        <f>VLOOKUP(B:B,'[1]12月四险一金14人'!$B:$C,2,0)</f>
        <v>3925.8</v>
      </c>
      <c r="J7" s="15">
        <f>VLOOKUP(B:B,'[1]12月四险一金14人'!$B:$E,4,0)</f>
        <v>3000</v>
      </c>
      <c r="K7" s="30">
        <f t="shared" si="1"/>
        <v>314.06</v>
      </c>
      <c r="L7" s="30">
        <f t="shared" si="2"/>
        <v>78.52</v>
      </c>
      <c r="M7" s="30">
        <f t="shared" si="3"/>
        <v>19.63</v>
      </c>
      <c r="N7" s="30">
        <f t="shared" si="4"/>
        <v>150</v>
      </c>
      <c r="O7" s="31">
        <f t="shared" si="5"/>
        <v>562.21</v>
      </c>
      <c r="P7" s="30">
        <f t="shared" si="6"/>
        <v>628.13</v>
      </c>
      <c r="Q7" s="30">
        <f t="shared" si="7"/>
        <v>333.69</v>
      </c>
      <c r="R7" s="30">
        <f t="shared" si="8"/>
        <v>19.63</v>
      </c>
      <c r="S7" s="30">
        <f t="shared" si="9"/>
        <v>7.85</v>
      </c>
      <c r="T7" s="30">
        <f t="shared" si="10"/>
        <v>150</v>
      </c>
      <c r="U7" s="31">
        <f t="shared" si="11"/>
        <v>1139.3</v>
      </c>
      <c r="V7" s="18">
        <v>0</v>
      </c>
      <c r="W7" s="18">
        <f t="shared" si="12"/>
        <v>3812.79</v>
      </c>
      <c r="X7" s="18">
        <f t="shared" si="13"/>
        <v>87.5</v>
      </c>
      <c r="Y7" s="18">
        <f t="shared" si="14"/>
        <v>65.63</v>
      </c>
      <c r="Z7" s="18">
        <f t="shared" si="15"/>
        <v>72.54</v>
      </c>
      <c r="AA7" s="18">
        <f t="shared" si="16"/>
        <v>453.39</v>
      </c>
      <c r="AB7" s="18">
        <f t="shared" si="17"/>
        <v>380.85</v>
      </c>
      <c r="AC7" s="18">
        <f t="shared" si="18"/>
        <v>6574.21</v>
      </c>
      <c r="AD7" s="42">
        <f t="shared" si="19"/>
        <v>6574.21</v>
      </c>
      <c r="AE7" s="42">
        <f t="shared" si="20"/>
        <v>78890.52</v>
      </c>
    </row>
    <row r="8" s="2" customFormat="1" ht="15" customHeight="1" spans="1:31">
      <c r="A8" s="12">
        <v>5</v>
      </c>
      <c r="B8" s="13" t="s">
        <v>36</v>
      </c>
      <c r="C8" s="14"/>
      <c r="D8" s="13" t="s">
        <v>111</v>
      </c>
      <c r="E8" s="13">
        <v>4200</v>
      </c>
      <c r="F8" s="13"/>
      <c r="G8" s="13">
        <v>175</v>
      </c>
      <c r="H8" s="15">
        <f t="shared" si="0"/>
        <v>4375</v>
      </c>
      <c r="I8" s="15">
        <f>VLOOKUP(B:B,'[1]12月四险一金14人'!$B:$C,2,0)</f>
        <v>3925.8</v>
      </c>
      <c r="J8" s="15">
        <f>VLOOKUP(B:B,'[1]12月四险一金14人'!$B:$E,4,0)</f>
        <v>3000</v>
      </c>
      <c r="K8" s="30">
        <f t="shared" si="1"/>
        <v>314.06</v>
      </c>
      <c r="L8" s="30">
        <f t="shared" si="2"/>
        <v>78.52</v>
      </c>
      <c r="M8" s="30">
        <f t="shared" si="3"/>
        <v>19.63</v>
      </c>
      <c r="N8" s="30">
        <f t="shared" si="4"/>
        <v>150</v>
      </c>
      <c r="O8" s="31">
        <f t="shared" si="5"/>
        <v>562.21</v>
      </c>
      <c r="P8" s="30">
        <f t="shared" si="6"/>
        <v>628.13</v>
      </c>
      <c r="Q8" s="30">
        <f t="shared" si="7"/>
        <v>333.69</v>
      </c>
      <c r="R8" s="30">
        <f t="shared" si="8"/>
        <v>19.63</v>
      </c>
      <c r="S8" s="30">
        <f t="shared" si="9"/>
        <v>7.85</v>
      </c>
      <c r="T8" s="30">
        <f t="shared" si="10"/>
        <v>150</v>
      </c>
      <c r="U8" s="31">
        <f t="shared" si="11"/>
        <v>1139.3</v>
      </c>
      <c r="V8" s="18">
        <v>0</v>
      </c>
      <c r="W8" s="18">
        <f t="shared" si="12"/>
        <v>3812.79</v>
      </c>
      <c r="X8" s="18">
        <f t="shared" si="13"/>
        <v>87.5</v>
      </c>
      <c r="Y8" s="18">
        <f t="shared" si="14"/>
        <v>65.63</v>
      </c>
      <c r="Z8" s="18">
        <f t="shared" si="15"/>
        <v>72.54</v>
      </c>
      <c r="AA8" s="18">
        <f t="shared" si="16"/>
        <v>453.39</v>
      </c>
      <c r="AB8" s="18">
        <f t="shared" si="17"/>
        <v>380.85</v>
      </c>
      <c r="AC8" s="18">
        <f t="shared" si="18"/>
        <v>6574.21</v>
      </c>
      <c r="AD8" s="42">
        <f t="shared" si="19"/>
        <v>6574.21</v>
      </c>
      <c r="AE8" s="42">
        <f t="shared" si="20"/>
        <v>78890.52</v>
      </c>
    </row>
    <row r="9" s="2" customFormat="1" ht="15" customHeight="1" spans="1:31">
      <c r="A9" s="12">
        <v>6</v>
      </c>
      <c r="B9" s="13" t="s">
        <v>37</v>
      </c>
      <c r="C9" s="14"/>
      <c r="D9" s="13" t="s">
        <v>111</v>
      </c>
      <c r="E9" s="13">
        <v>4200</v>
      </c>
      <c r="F9" s="13"/>
      <c r="G9" s="13">
        <v>175</v>
      </c>
      <c r="H9" s="15">
        <f t="shared" si="0"/>
        <v>4375</v>
      </c>
      <c r="I9" s="15">
        <f>VLOOKUP(B:B,'[1]12月四险一金14人'!$B:$C,2,0)</f>
        <v>3925.8</v>
      </c>
      <c r="J9" s="15">
        <f>VLOOKUP(B:B,'[1]12月四险一金14人'!$B:$E,4,0)</f>
        <v>3000</v>
      </c>
      <c r="K9" s="30">
        <f t="shared" si="1"/>
        <v>314.06</v>
      </c>
      <c r="L9" s="30">
        <f t="shared" si="2"/>
        <v>78.52</v>
      </c>
      <c r="M9" s="30">
        <f t="shared" si="3"/>
        <v>19.63</v>
      </c>
      <c r="N9" s="30">
        <f t="shared" si="4"/>
        <v>150</v>
      </c>
      <c r="O9" s="31">
        <f t="shared" si="5"/>
        <v>562.21</v>
      </c>
      <c r="P9" s="30">
        <f t="shared" si="6"/>
        <v>628.13</v>
      </c>
      <c r="Q9" s="30">
        <f t="shared" si="7"/>
        <v>333.69</v>
      </c>
      <c r="R9" s="30">
        <f t="shared" si="8"/>
        <v>19.63</v>
      </c>
      <c r="S9" s="30">
        <f t="shared" si="9"/>
        <v>7.85</v>
      </c>
      <c r="T9" s="30">
        <f t="shared" si="10"/>
        <v>150</v>
      </c>
      <c r="U9" s="31">
        <f t="shared" si="11"/>
        <v>1139.3</v>
      </c>
      <c r="V9" s="18">
        <v>0</v>
      </c>
      <c r="W9" s="18">
        <f t="shared" si="12"/>
        <v>3812.79</v>
      </c>
      <c r="X9" s="18">
        <f t="shared" si="13"/>
        <v>87.5</v>
      </c>
      <c r="Y9" s="18">
        <f t="shared" si="14"/>
        <v>65.63</v>
      </c>
      <c r="Z9" s="18">
        <f t="shared" si="15"/>
        <v>72.54</v>
      </c>
      <c r="AA9" s="18">
        <f t="shared" si="16"/>
        <v>453.39</v>
      </c>
      <c r="AB9" s="18">
        <f t="shared" si="17"/>
        <v>380.85</v>
      </c>
      <c r="AC9" s="18">
        <f t="shared" si="18"/>
        <v>6574.21</v>
      </c>
      <c r="AD9" s="42">
        <f t="shared" si="19"/>
        <v>6574.21</v>
      </c>
      <c r="AE9" s="42">
        <f t="shared" si="20"/>
        <v>78890.52</v>
      </c>
    </row>
    <row r="10" s="2" customFormat="1" ht="15" customHeight="1" spans="1:31">
      <c r="A10" s="12">
        <v>7</v>
      </c>
      <c r="B10" s="16" t="s">
        <v>38</v>
      </c>
      <c r="C10" s="17"/>
      <c r="D10" s="16" t="s">
        <v>111</v>
      </c>
      <c r="E10" s="16">
        <v>4200</v>
      </c>
      <c r="F10" s="16"/>
      <c r="G10" s="16">
        <v>175</v>
      </c>
      <c r="H10" s="18">
        <f t="shared" si="0"/>
        <v>4375</v>
      </c>
      <c r="I10" s="15">
        <f>VLOOKUP(B:B,'[1]12月四险一金14人'!$B:$C,2,0)</f>
        <v>3925.8</v>
      </c>
      <c r="J10" s="15">
        <f>VLOOKUP(B:B,'[1]12月四险一金14人'!$B:$E,4,0)</f>
        <v>1680</v>
      </c>
      <c r="K10" s="30">
        <f t="shared" si="1"/>
        <v>314.06</v>
      </c>
      <c r="L10" s="30">
        <f t="shared" si="2"/>
        <v>78.52</v>
      </c>
      <c r="M10" s="30">
        <f t="shared" si="3"/>
        <v>19.63</v>
      </c>
      <c r="N10" s="30">
        <f t="shared" si="4"/>
        <v>84</v>
      </c>
      <c r="O10" s="31">
        <f t="shared" si="5"/>
        <v>496.21</v>
      </c>
      <c r="P10" s="30">
        <f t="shared" si="6"/>
        <v>628.13</v>
      </c>
      <c r="Q10" s="30">
        <f t="shared" si="7"/>
        <v>333.69</v>
      </c>
      <c r="R10" s="30">
        <f t="shared" si="8"/>
        <v>19.63</v>
      </c>
      <c r="S10" s="30">
        <f t="shared" si="9"/>
        <v>7.85</v>
      </c>
      <c r="T10" s="30">
        <f t="shared" si="10"/>
        <v>84</v>
      </c>
      <c r="U10" s="31">
        <f t="shared" si="11"/>
        <v>1073.3</v>
      </c>
      <c r="V10" s="18">
        <v>0</v>
      </c>
      <c r="W10" s="18">
        <f t="shared" si="12"/>
        <v>3878.79</v>
      </c>
      <c r="X10" s="18">
        <f t="shared" si="13"/>
        <v>87.5</v>
      </c>
      <c r="Y10" s="18">
        <f t="shared" si="14"/>
        <v>65.63</v>
      </c>
      <c r="Z10" s="18">
        <f t="shared" si="15"/>
        <v>71.7</v>
      </c>
      <c r="AA10" s="18">
        <f t="shared" si="16"/>
        <v>448.11</v>
      </c>
      <c r="AB10" s="18">
        <f t="shared" si="17"/>
        <v>376.42</v>
      </c>
      <c r="AC10" s="18">
        <f t="shared" si="18"/>
        <v>6497.66</v>
      </c>
      <c r="AD10" s="42">
        <f t="shared" si="19"/>
        <v>6497.66</v>
      </c>
      <c r="AE10" s="42">
        <f t="shared" si="20"/>
        <v>77971.92</v>
      </c>
    </row>
    <row r="11" s="2" customFormat="1" ht="15" customHeight="1" spans="1:31">
      <c r="A11" s="12">
        <v>8</v>
      </c>
      <c r="B11" s="16" t="s">
        <v>39</v>
      </c>
      <c r="C11" s="17"/>
      <c r="D11" s="16" t="s">
        <v>111</v>
      </c>
      <c r="E11" s="16">
        <v>4200</v>
      </c>
      <c r="F11" s="16"/>
      <c r="G11" s="16">
        <v>175</v>
      </c>
      <c r="H11" s="18">
        <f t="shared" si="0"/>
        <v>4375</v>
      </c>
      <c r="I11" s="15">
        <f>VLOOKUP(B:B,'[1]12月四险一金14人'!$B:$C,2,0)</f>
        <v>3925.8</v>
      </c>
      <c r="J11" s="15">
        <f>VLOOKUP(B:B,'[1]12月四险一金14人'!$B:$E,4,0)</f>
        <v>1680</v>
      </c>
      <c r="K11" s="30">
        <f t="shared" si="1"/>
        <v>314.06</v>
      </c>
      <c r="L11" s="30">
        <f t="shared" si="2"/>
        <v>78.52</v>
      </c>
      <c r="M11" s="30">
        <f t="shared" si="3"/>
        <v>19.63</v>
      </c>
      <c r="N11" s="30">
        <f t="shared" si="4"/>
        <v>84</v>
      </c>
      <c r="O11" s="31">
        <f t="shared" si="5"/>
        <v>496.21</v>
      </c>
      <c r="P11" s="30">
        <f t="shared" si="6"/>
        <v>628.13</v>
      </c>
      <c r="Q11" s="30">
        <f t="shared" si="7"/>
        <v>333.69</v>
      </c>
      <c r="R11" s="30">
        <f t="shared" si="8"/>
        <v>19.63</v>
      </c>
      <c r="S11" s="30">
        <f t="shared" si="9"/>
        <v>7.85</v>
      </c>
      <c r="T11" s="30">
        <f t="shared" si="10"/>
        <v>84</v>
      </c>
      <c r="U11" s="31">
        <f t="shared" si="11"/>
        <v>1073.3</v>
      </c>
      <c r="V11" s="18">
        <v>0</v>
      </c>
      <c r="W11" s="18">
        <f t="shared" si="12"/>
        <v>3878.79</v>
      </c>
      <c r="X11" s="18">
        <f t="shared" si="13"/>
        <v>87.5</v>
      </c>
      <c r="Y11" s="18">
        <f t="shared" si="14"/>
        <v>65.63</v>
      </c>
      <c r="Z11" s="18">
        <f t="shared" si="15"/>
        <v>71.7</v>
      </c>
      <c r="AA11" s="18">
        <f t="shared" si="16"/>
        <v>448.11</v>
      </c>
      <c r="AB11" s="18">
        <f t="shared" si="17"/>
        <v>376.42</v>
      </c>
      <c r="AC11" s="18">
        <f t="shared" si="18"/>
        <v>6497.66</v>
      </c>
      <c r="AD11" s="42">
        <f t="shared" si="19"/>
        <v>6497.66</v>
      </c>
      <c r="AE11" s="42">
        <f t="shared" si="20"/>
        <v>77971.92</v>
      </c>
    </row>
    <row r="12" s="2" customFormat="1" ht="15" customHeight="1" spans="1:31">
      <c r="A12" s="12">
        <v>9</v>
      </c>
      <c r="B12" s="16" t="s">
        <v>40</v>
      </c>
      <c r="C12" s="17"/>
      <c r="D12" s="16" t="s">
        <v>111</v>
      </c>
      <c r="E12" s="16">
        <v>4200</v>
      </c>
      <c r="F12" s="16"/>
      <c r="G12" s="16">
        <v>175</v>
      </c>
      <c r="H12" s="18">
        <f t="shared" si="0"/>
        <v>4375</v>
      </c>
      <c r="I12" s="15">
        <f>VLOOKUP(B:B,'[1]12月四险一金14人'!$B:$C,2,0)</f>
        <v>3925.8</v>
      </c>
      <c r="J12" s="15">
        <f>VLOOKUP(B:B,'[1]12月四险一金14人'!$B:$E,4,0)</f>
        <v>1680</v>
      </c>
      <c r="K12" s="30">
        <f t="shared" si="1"/>
        <v>314.06</v>
      </c>
      <c r="L12" s="30">
        <f t="shared" si="2"/>
        <v>78.52</v>
      </c>
      <c r="M12" s="30">
        <f t="shared" si="3"/>
        <v>19.63</v>
      </c>
      <c r="N12" s="30">
        <f t="shared" si="4"/>
        <v>84</v>
      </c>
      <c r="O12" s="31">
        <f t="shared" si="5"/>
        <v>496.21</v>
      </c>
      <c r="P12" s="30">
        <f t="shared" si="6"/>
        <v>628.13</v>
      </c>
      <c r="Q12" s="30">
        <f t="shared" si="7"/>
        <v>333.69</v>
      </c>
      <c r="R12" s="30">
        <f t="shared" si="8"/>
        <v>19.63</v>
      </c>
      <c r="S12" s="30">
        <f t="shared" si="9"/>
        <v>7.85</v>
      </c>
      <c r="T12" s="30">
        <f t="shared" si="10"/>
        <v>84</v>
      </c>
      <c r="U12" s="31">
        <f t="shared" si="11"/>
        <v>1073.3</v>
      </c>
      <c r="V12" s="18">
        <v>0</v>
      </c>
      <c r="W12" s="18">
        <f t="shared" si="12"/>
        <v>3878.79</v>
      </c>
      <c r="X12" s="18">
        <f t="shared" si="13"/>
        <v>87.5</v>
      </c>
      <c r="Y12" s="18">
        <f t="shared" si="14"/>
        <v>65.63</v>
      </c>
      <c r="Z12" s="18">
        <f t="shared" si="15"/>
        <v>71.7</v>
      </c>
      <c r="AA12" s="18">
        <f t="shared" si="16"/>
        <v>448.11</v>
      </c>
      <c r="AB12" s="18">
        <f t="shared" si="17"/>
        <v>376.42</v>
      </c>
      <c r="AC12" s="18">
        <f t="shared" si="18"/>
        <v>6497.66</v>
      </c>
      <c r="AD12" s="42">
        <f t="shared" si="19"/>
        <v>6497.66</v>
      </c>
      <c r="AE12" s="42">
        <f t="shared" si="20"/>
        <v>77971.92</v>
      </c>
    </row>
    <row r="13" s="2" customFormat="1" ht="15" customHeight="1" spans="1:31">
      <c r="A13" s="12">
        <v>10</v>
      </c>
      <c r="B13" s="16" t="s">
        <v>41</v>
      </c>
      <c r="C13" s="17"/>
      <c r="D13" s="16" t="s">
        <v>111</v>
      </c>
      <c r="E13" s="16">
        <v>4200</v>
      </c>
      <c r="F13" s="16"/>
      <c r="G13" s="16">
        <v>175</v>
      </c>
      <c r="H13" s="18">
        <f t="shared" si="0"/>
        <v>4375</v>
      </c>
      <c r="I13" s="15">
        <f>VLOOKUP(B:B,'[1]12月四险一金14人'!$B:$C,2,0)</f>
        <v>3925.8</v>
      </c>
      <c r="J13" s="15">
        <f>VLOOKUP(B:B,'[1]12月四险一金14人'!$B:$E,4,0)</f>
        <v>1680</v>
      </c>
      <c r="K13" s="30">
        <f t="shared" si="1"/>
        <v>314.06</v>
      </c>
      <c r="L13" s="30">
        <f t="shared" si="2"/>
        <v>78.52</v>
      </c>
      <c r="M13" s="30">
        <f t="shared" si="3"/>
        <v>19.63</v>
      </c>
      <c r="N13" s="30">
        <f t="shared" si="4"/>
        <v>84</v>
      </c>
      <c r="O13" s="31">
        <f t="shared" si="5"/>
        <v>496.21</v>
      </c>
      <c r="P13" s="30">
        <f t="shared" si="6"/>
        <v>628.13</v>
      </c>
      <c r="Q13" s="30">
        <f t="shared" si="7"/>
        <v>333.69</v>
      </c>
      <c r="R13" s="30">
        <f t="shared" si="8"/>
        <v>19.63</v>
      </c>
      <c r="S13" s="30">
        <f t="shared" si="9"/>
        <v>7.85</v>
      </c>
      <c r="T13" s="30">
        <f t="shared" si="10"/>
        <v>84</v>
      </c>
      <c r="U13" s="31">
        <f t="shared" si="11"/>
        <v>1073.3</v>
      </c>
      <c r="V13" s="18">
        <v>0</v>
      </c>
      <c r="W13" s="18">
        <f t="shared" si="12"/>
        <v>3878.79</v>
      </c>
      <c r="X13" s="18">
        <f t="shared" si="13"/>
        <v>87.5</v>
      </c>
      <c r="Y13" s="18">
        <f t="shared" si="14"/>
        <v>65.63</v>
      </c>
      <c r="Z13" s="18">
        <f t="shared" si="15"/>
        <v>71.7</v>
      </c>
      <c r="AA13" s="18">
        <f t="shared" si="16"/>
        <v>448.11</v>
      </c>
      <c r="AB13" s="18">
        <f t="shared" si="17"/>
        <v>376.42</v>
      </c>
      <c r="AC13" s="18">
        <f t="shared" si="18"/>
        <v>6497.66</v>
      </c>
      <c r="AD13" s="42">
        <f t="shared" si="19"/>
        <v>6497.66</v>
      </c>
      <c r="AE13" s="42">
        <f t="shared" si="20"/>
        <v>77971.92</v>
      </c>
    </row>
    <row r="14" s="2" customFormat="1" ht="15" customHeight="1" spans="1:31">
      <c r="A14" s="12">
        <v>11</v>
      </c>
      <c r="B14" s="16" t="s">
        <v>42</v>
      </c>
      <c r="C14" s="17"/>
      <c r="D14" s="16" t="s">
        <v>111</v>
      </c>
      <c r="E14" s="16">
        <v>4200</v>
      </c>
      <c r="F14" s="16"/>
      <c r="G14" s="16">
        <v>175</v>
      </c>
      <c r="H14" s="18">
        <f t="shared" si="0"/>
        <v>4375</v>
      </c>
      <c r="I14" s="15">
        <f>VLOOKUP(B:B,'[1]12月四险一金14人'!$B:$C,2,0)</f>
        <v>3925.8</v>
      </c>
      <c r="J14" s="15">
        <f>VLOOKUP(B:B,'[1]12月四险一金14人'!$B:$E,4,0)</f>
        <v>1680</v>
      </c>
      <c r="K14" s="30">
        <f t="shared" si="1"/>
        <v>314.06</v>
      </c>
      <c r="L14" s="30">
        <f t="shared" si="2"/>
        <v>78.52</v>
      </c>
      <c r="M14" s="30">
        <f t="shared" si="3"/>
        <v>19.63</v>
      </c>
      <c r="N14" s="30">
        <f t="shared" si="4"/>
        <v>84</v>
      </c>
      <c r="O14" s="31">
        <f t="shared" si="5"/>
        <v>496.21</v>
      </c>
      <c r="P14" s="30">
        <f t="shared" si="6"/>
        <v>628.13</v>
      </c>
      <c r="Q14" s="30">
        <f t="shared" si="7"/>
        <v>333.69</v>
      </c>
      <c r="R14" s="30">
        <f t="shared" si="8"/>
        <v>19.63</v>
      </c>
      <c r="S14" s="30">
        <f t="shared" si="9"/>
        <v>7.85</v>
      </c>
      <c r="T14" s="30">
        <f t="shared" si="10"/>
        <v>84</v>
      </c>
      <c r="U14" s="31">
        <f t="shared" si="11"/>
        <v>1073.3</v>
      </c>
      <c r="V14" s="18">
        <v>0</v>
      </c>
      <c r="W14" s="18">
        <f t="shared" si="12"/>
        <v>3878.79</v>
      </c>
      <c r="X14" s="18">
        <f t="shared" si="13"/>
        <v>87.5</v>
      </c>
      <c r="Y14" s="18">
        <f t="shared" si="14"/>
        <v>65.63</v>
      </c>
      <c r="Z14" s="18">
        <f t="shared" si="15"/>
        <v>71.7</v>
      </c>
      <c r="AA14" s="18">
        <f t="shared" si="16"/>
        <v>448.11</v>
      </c>
      <c r="AB14" s="18">
        <f t="shared" si="17"/>
        <v>376.42</v>
      </c>
      <c r="AC14" s="18">
        <f t="shared" si="18"/>
        <v>6497.66</v>
      </c>
      <c r="AD14" s="42">
        <f t="shared" si="19"/>
        <v>6497.66</v>
      </c>
      <c r="AE14" s="42">
        <f t="shared" si="20"/>
        <v>77971.92</v>
      </c>
    </row>
    <row r="15" s="2" customFormat="1" ht="15" customHeight="1" spans="1:31">
      <c r="A15" s="12">
        <v>12</v>
      </c>
      <c r="B15" s="16" t="s">
        <v>43</v>
      </c>
      <c r="C15" s="17"/>
      <c r="D15" s="16" t="s">
        <v>111</v>
      </c>
      <c r="E15" s="16">
        <v>4200</v>
      </c>
      <c r="F15" s="16"/>
      <c r="G15" s="16">
        <v>175</v>
      </c>
      <c r="H15" s="18">
        <f t="shared" si="0"/>
        <v>4375</v>
      </c>
      <c r="I15" s="15">
        <f>VLOOKUP(B:B,'[1]12月四险一金14人'!$B:$C,2,0)</f>
        <v>3925.8</v>
      </c>
      <c r="J15" s="15">
        <f>VLOOKUP(B:B,'[1]12月四险一金14人'!$B:$E,4,0)</f>
        <v>1680</v>
      </c>
      <c r="K15" s="30">
        <f t="shared" si="1"/>
        <v>314.06</v>
      </c>
      <c r="L15" s="30">
        <f t="shared" si="2"/>
        <v>78.52</v>
      </c>
      <c r="M15" s="30">
        <f t="shared" si="3"/>
        <v>19.63</v>
      </c>
      <c r="N15" s="30">
        <f t="shared" si="4"/>
        <v>84</v>
      </c>
      <c r="O15" s="31">
        <f t="shared" si="5"/>
        <v>496.21</v>
      </c>
      <c r="P15" s="30">
        <f t="shared" si="6"/>
        <v>628.13</v>
      </c>
      <c r="Q15" s="30">
        <f t="shared" si="7"/>
        <v>333.69</v>
      </c>
      <c r="R15" s="30">
        <f t="shared" si="8"/>
        <v>19.63</v>
      </c>
      <c r="S15" s="30">
        <f t="shared" si="9"/>
        <v>7.85</v>
      </c>
      <c r="T15" s="30">
        <f t="shared" si="10"/>
        <v>84</v>
      </c>
      <c r="U15" s="31">
        <f t="shared" si="11"/>
        <v>1073.3</v>
      </c>
      <c r="V15" s="18">
        <v>0</v>
      </c>
      <c r="W15" s="18">
        <f t="shared" si="12"/>
        <v>3878.79</v>
      </c>
      <c r="X15" s="18">
        <f t="shared" si="13"/>
        <v>87.5</v>
      </c>
      <c r="Y15" s="18">
        <f t="shared" si="14"/>
        <v>65.63</v>
      </c>
      <c r="Z15" s="18">
        <f t="shared" si="15"/>
        <v>71.7</v>
      </c>
      <c r="AA15" s="18">
        <f t="shared" si="16"/>
        <v>448.11</v>
      </c>
      <c r="AB15" s="18">
        <f t="shared" si="17"/>
        <v>376.42</v>
      </c>
      <c r="AC15" s="18">
        <f t="shared" si="18"/>
        <v>6497.66</v>
      </c>
      <c r="AD15" s="42">
        <f t="shared" si="19"/>
        <v>6497.66</v>
      </c>
      <c r="AE15" s="42">
        <f t="shared" si="20"/>
        <v>77971.92</v>
      </c>
    </row>
    <row r="16" s="2" customFormat="1" ht="15" customHeight="1" spans="1:31">
      <c r="A16" s="12">
        <v>13</v>
      </c>
      <c r="B16" s="19" t="s">
        <v>44</v>
      </c>
      <c r="C16" s="20"/>
      <c r="D16" s="19" t="s">
        <v>111</v>
      </c>
      <c r="E16" s="19">
        <v>4200</v>
      </c>
      <c r="F16" s="19"/>
      <c r="G16" s="19">
        <v>175</v>
      </c>
      <c r="H16" s="21">
        <f t="shared" si="0"/>
        <v>4375</v>
      </c>
      <c r="I16" s="21"/>
      <c r="J16" s="21"/>
      <c r="K16" s="32">
        <f t="shared" si="1"/>
        <v>0</v>
      </c>
      <c r="L16" s="32">
        <f t="shared" si="2"/>
        <v>0</v>
      </c>
      <c r="M16" s="32">
        <f t="shared" si="3"/>
        <v>0</v>
      </c>
      <c r="N16" s="32">
        <f t="shared" si="4"/>
        <v>0</v>
      </c>
      <c r="O16" s="33">
        <f t="shared" si="5"/>
        <v>0</v>
      </c>
      <c r="P16" s="32">
        <f t="shared" si="6"/>
        <v>0</v>
      </c>
      <c r="Q16" s="32">
        <f t="shared" si="7"/>
        <v>0</v>
      </c>
      <c r="R16" s="32">
        <f t="shared" si="8"/>
        <v>0</v>
      </c>
      <c r="S16" s="32">
        <f t="shared" si="9"/>
        <v>0</v>
      </c>
      <c r="T16" s="32">
        <f t="shared" si="10"/>
        <v>0</v>
      </c>
      <c r="U16" s="33">
        <f t="shared" si="11"/>
        <v>0</v>
      </c>
      <c r="V16" s="21">
        <v>0</v>
      </c>
      <c r="W16" s="21">
        <f t="shared" si="12"/>
        <v>4375</v>
      </c>
      <c r="X16" s="21">
        <f t="shared" si="13"/>
        <v>87.5</v>
      </c>
      <c r="Y16" s="21">
        <f t="shared" si="14"/>
        <v>65.63</v>
      </c>
      <c r="Z16" s="21">
        <f t="shared" si="15"/>
        <v>57.96</v>
      </c>
      <c r="AA16" s="21">
        <f t="shared" si="16"/>
        <v>362.25</v>
      </c>
      <c r="AB16" s="21">
        <f t="shared" si="17"/>
        <v>304.29</v>
      </c>
      <c r="AC16" s="21">
        <f t="shared" si="18"/>
        <v>5252.63</v>
      </c>
      <c r="AD16" s="43">
        <f t="shared" si="19"/>
        <v>5252.63</v>
      </c>
      <c r="AE16" s="43">
        <f t="shared" si="20"/>
        <v>63031.56</v>
      </c>
    </row>
    <row r="17" s="2" customFormat="1" ht="15" customHeight="1" spans="1:31">
      <c r="A17" s="12">
        <v>14</v>
      </c>
      <c r="B17" s="19" t="s">
        <v>45</v>
      </c>
      <c r="C17" s="20"/>
      <c r="D17" s="19" t="s">
        <v>111</v>
      </c>
      <c r="E17" s="19">
        <v>4200</v>
      </c>
      <c r="F17" s="19"/>
      <c r="G17" s="19">
        <v>175</v>
      </c>
      <c r="H17" s="21">
        <f t="shared" si="0"/>
        <v>4375</v>
      </c>
      <c r="I17" s="21"/>
      <c r="J17" s="21"/>
      <c r="K17" s="32">
        <f t="shared" si="1"/>
        <v>0</v>
      </c>
      <c r="L17" s="32">
        <f t="shared" si="2"/>
        <v>0</v>
      </c>
      <c r="M17" s="32">
        <f t="shared" si="3"/>
        <v>0</v>
      </c>
      <c r="N17" s="32">
        <f t="shared" si="4"/>
        <v>0</v>
      </c>
      <c r="O17" s="33">
        <f t="shared" si="5"/>
        <v>0</v>
      </c>
      <c r="P17" s="32">
        <f t="shared" si="6"/>
        <v>0</v>
      </c>
      <c r="Q17" s="32">
        <f t="shared" si="7"/>
        <v>0</v>
      </c>
      <c r="R17" s="32">
        <f t="shared" si="8"/>
        <v>0</v>
      </c>
      <c r="S17" s="32">
        <f t="shared" si="9"/>
        <v>0</v>
      </c>
      <c r="T17" s="32">
        <f t="shared" si="10"/>
        <v>0</v>
      </c>
      <c r="U17" s="33">
        <f t="shared" si="11"/>
        <v>0</v>
      </c>
      <c r="V17" s="21">
        <v>0</v>
      </c>
      <c r="W17" s="21">
        <f t="shared" si="12"/>
        <v>4375</v>
      </c>
      <c r="X17" s="21">
        <f t="shared" si="13"/>
        <v>87.5</v>
      </c>
      <c r="Y17" s="21">
        <f t="shared" si="14"/>
        <v>65.63</v>
      </c>
      <c r="Z17" s="21">
        <f t="shared" si="15"/>
        <v>57.96</v>
      </c>
      <c r="AA17" s="21">
        <f t="shared" si="16"/>
        <v>362.25</v>
      </c>
      <c r="AB17" s="21">
        <f t="shared" si="17"/>
        <v>304.29</v>
      </c>
      <c r="AC17" s="21">
        <f t="shared" si="18"/>
        <v>5252.63</v>
      </c>
      <c r="AD17" s="43">
        <f t="shared" si="19"/>
        <v>5252.63</v>
      </c>
      <c r="AE17" s="43">
        <f t="shared" si="20"/>
        <v>63031.56</v>
      </c>
    </row>
    <row r="18" s="2" customFormat="1" ht="15" customHeight="1" spans="1:31">
      <c r="A18" s="12">
        <v>15</v>
      </c>
      <c r="B18" s="16" t="s">
        <v>46</v>
      </c>
      <c r="C18" s="17"/>
      <c r="D18" s="16" t="s">
        <v>111</v>
      </c>
      <c r="E18" s="16">
        <v>4200</v>
      </c>
      <c r="F18" s="16"/>
      <c r="G18" s="16">
        <v>175</v>
      </c>
      <c r="H18" s="18">
        <f t="shared" si="0"/>
        <v>4375</v>
      </c>
      <c r="I18" s="15">
        <f>VLOOKUP(B:B,'[1]12月四险一金14人'!$B:$C,2,0)</f>
        <v>3925.8</v>
      </c>
      <c r="J18" s="15">
        <f>VLOOKUP(B:B,'[1]12月四险一金14人'!$B:$E,4,0)</f>
        <v>1680</v>
      </c>
      <c r="K18" s="30">
        <f t="shared" si="1"/>
        <v>314.06</v>
      </c>
      <c r="L18" s="30">
        <f t="shared" si="2"/>
        <v>78.52</v>
      </c>
      <c r="M18" s="30">
        <f t="shared" si="3"/>
        <v>19.63</v>
      </c>
      <c r="N18" s="30">
        <f t="shared" si="4"/>
        <v>84</v>
      </c>
      <c r="O18" s="31">
        <f t="shared" si="5"/>
        <v>496.21</v>
      </c>
      <c r="P18" s="30">
        <f t="shared" si="6"/>
        <v>628.13</v>
      </c>
      <c r="Q18" s="30">
        <f t="shared" si="7"/>
        <v>333.69</v>
      </c>
      <c r="R18" s="30">
        <f t="shared" si="8"/>
        <v>19.63</v>
      </c>
      <c r="S18" s="30">
        <f t="shared" si="9"/>
        <v>7.85</v>
      </c>
      <c r="T18" s="30">
        <f t="shared" si="10"/>
        <v>84</v>
      </c>
      <c r="U18" s="31">
        <f t="shared" si="11"/>
        <v>1073.3</v>
      </c>
      <c r="V18" s="18">
        <v>0</v>
      </c>
      <c r="W18" s="18">
        <f t="shared" si="12"/>
        <v>3878.79</v>
      </c>
      <c r="X18" s="18">
        <f t="shared" si="13"/>
        <v>87.5</v>
      </c>
      <c r="Y18" s="18">
        <f t="shared" si="14"/>
        <v>65.63</v>
      </c>
      <c r="Z18" s="18">
        <f t="shared" si="15"/>
        <v>71.7</v>
      </c>
      <c r="AA18" s="18">
        <f t="shared" si="16"/>
        <v>448.11</v>
      </c>
      <c r="AB18" s="18">
        <f t="shared" si="17"/>
        <v>376.42</v>
      </c>
      <c r="AC18" s="18">
        <f t="shared" si="18"/>
        <v>6497.66</v>
      </c>
      <c r="AD18" s="42">
        <f t="shared" si="19"/>
        <v>6497.66</v>
      </c>
      <c r="AE18" s="42">
        <f t="shared" si="20"/>
        <v>77971.92</v>
      </c>
    </row>
    <row r="19" s="2" customFormat="1" ht="15" customHeight="1" spans="1:31">
      <c r="A19" s="12">
        <v>16</v>
      </c>
      <c r="B19" s="16" t="s">
        <v>47</v>
      </c>
      <c r="C19" s="17"/>
      <c r="D19" s="16" t="s">
        <v>111</v>
      </c>
      <c r="E19" s="16">
        <v>4200</v>
      </c>
      <c r="F19" s="16"/>
      <c r="G19" s="16">
        <v>175</v>
      </c>
      <c r="H19" s="18">
        <f t="shared" si="0"/>
        <v>4375</v>
      </c>
      <c r="I19" s="15">
        <f>VLOOKUP(B:B,'[1]12月四险一金14人'!$B:$C,2,0)</f>
        <v>3925.8</v>
      </c>
      <c r="J19" s="15">
        <f>VLOOKUP(B:B,'[1]12月四险一金14人'!$B:$E,4,0)</f>
        <v>1680</v>
      </c>
      <c r="K19" s="30">
        <f t="shared" si="1"/>
        <v>314.06</v>
      </c>
      <c r="L19" s="30">
        <f t="shared" si="2"/>
        <v>78.52</v>
      </c>
      <c r="M19" s="30">
        <f t="shared" si="3"/>
        <v>19.63</v>
      </c>
      <c r="N19" s="30">
        <f t="shared" si="4"/>
        <v>84</v>
      </c>
      <c r="O19" s="31">
        <f t="shared" si="5"/>
        <v>496.21</v>
      </c>
      <c r="P19" s="30">
        <f t="shared" si="6"/>
        <v>628.13</v>
      </c>
      <c r="Q19" s="30">
        <f t="shared" si="7"/>
        <v>333.69</v>
      </c>
      <c r="R19" s="30">
        <f t="shared" si="8"/>
        <v>19.63</v>
      </c>
      <c r="S19" s="30">
        <f t="shared" si="9"/>
        <v>7.85</v>
      </c>
      <c r="T19" s="30">
        <f t="shared" si="10"/>
        <v>84</v>
      </c>
      <c r="U19" s="31">
        <f t="shared" si="11"/>
        <v>1073.3</v>
      </c>
      <c r="V19" s="18">
        <v>0</v>
      </c>
      <c r="W19" s="18">
        <f t="shared" si="12"/>
        <v>3878.79</v>
      </c>
      <c r="X19" s="18">
        <f t="shared" si="13"/>
        <v>87.5</v>
      </c>
      <c r="Y19" s="18">
        <f t="shared" si="14"/>
        <v>65.63</v>
      </c>
      <c r="Z19" s="18">
        <f t="shared" si="15"/>
        <v>71.7</v>
      </c>
      <c r="AA19" s="18">
        <f t="shared" si="16"/>
        <v>448.11</v>
      </c>
      <c r="AB19" s="18">
        <f t="shared" si="17"/>
        <v>376.42</v>
      </c>
      <c r="AC19" s="18">
        <f t="shared" si="18"/>
        <v>6497.66</v>
      </c>
      <c r="AD19" s="42">
        <f t="shared" si="19"/>
        <v>6497.66</v>
      </c>
      <c r="AE19" s="42">
        <f t="shared" si="20"/>
        <v>77971.92</v>
      </c>
    </row>
    <row r="20" s="2" customFormat="1" ht="15" customHeight="1" spans="1:31">
      <c r="A20" s="12">
        <v>17</v>
      </c>
      <c r="B20" s="22" t="s">
        <v>48</v>
      </c>
      <c r="C20" s="23"/>
      <c r="D20" s="22" t="s">
        <v>111</v>
      </c>
      <c r="E20" s="22">
        <v>4200</v>
      </c>
      <c r="F20" s="22"/>
      <c r="G20" s="22">
        <v>175</v>
      </c>
      <c r="H20" s="24">
        <f t="shared" si="0"/>
        <v>4375</v>
      </c>
      <c r="I20" s="34">
        <v>3925.8</v>
      </c>
      <c r="J20" s="34">
        <v>1680</v>
      </c>
      <c r="K20" s="35">
        <f t="shared" si="1"/>
        <v>314.06</v>
      </c>
      <c r="L20" s="35">
        <f t="shared" si="2"/>
        <v>78.52</v>
      </c>
      <c r="M20" s="35">
        <f t="shared" si="3"/>
        <v>19.63</v>
      </c>
      <c r="N20" s="35">
        <f t="shared" si="4"/>
        <v>84</v>
      </c>
      <c r="O20" s="36">
        <f t="shared" si="5"/>
        <v>496.21</v>
      </c>
      <c r="P20" s="35">
        <f t="shared" si="6"/>
        <v>628.13</v>
      </c>
      <c r="Q20" s="35">
        <f t="shared" si="7"/>
        <v>333.69</v>
      </c>
      <c r="R20" s="35">
        <f t="shared" si="8"/>
        <v>19.63</v>
      </c>
      <c r="S20" s="35">
        <f t="shared" si="9"/>
        <v>7.85</v>
      </c>
      <c r="T20" s="35">
        <f t="shared" si="10"/>
        <v>84</v>
      </c>
      <c r="U20" s="36">
        <f t="shared" si="11"/>
        <v>1073.3</v>
      </c>
      <c r="V20" s="24">
        <v>0</v>
      </c>
      <c r="W20" s="24">
        <f t="shared" si="12"/>
        <v>3878.79</v>
      </c>
      <c r="X20" s="24">
        <f t="shared" si="13"/>
        <v>87.5</v>
      </c>
      <c r="Y20" s="24">
        <f t="shared" si="14"/>
        <v>65.63</v>
      </c>
      <c r="Z20" s="24">
        <f t="shared" si="15"/>
        <v>71.7</v>
      </c>
      <c r="AA20" s="24">
        <f t="shared" si="16"/>
        <v>448.11</v>
      </c>
      <c r="AB20" s="24">
        <f t="shared" si="17"/>
        <v>376.42</v>
      </c>
      <c r="AC20" s="24">
        <f t="shared" si="18"/>
        <v>6497.66</v>
      </c>
      <c r="AD20" s="42">
        <f t="shared" si="19"/>
        <v>6497.66</v>
      </c>
      <c r="AE20" s="44">
        <f t="shared" si="20"/>
        <v>77971.92</v>
      </c>
    </row>
    <row r="21" s="2" customFormat="1" ht="15" customHeight="1" spans="1:31">
      <c r="A21" s="12">
        <v>18</v>
      </c>
      <c r="B21" s="22" t="s">
        <v>49</v>
      </c>
      <c r="C21" s="23"/>
      <c r="D21" s="22" t="s">
        <v>111</v>
      </c>
      <c r="E21" s="22">
        <v>4200</v>
      </c>
      <c r="F21" s="22"/>
      <c r="G21" s="22">
        <v>175</v>
      </c>
      <c r="H21" s="24">
        <f t="shared" si="0"/>
        <v>4375</v>
      </c>
      <c r="I21" s="34">
        <v>3925.8</v>
      </c>
      <c r="J21" s="34">
        <v>1680</v>
      </c>
      <c r="K21" s="35">
        <f t="shared" si="1"/>
        <v>314.06</v>
      </c>
      <c r="L21" s="35">
        <f t="shared" si="2"/>
        <v>78.52</v>
      </c>
      <c r="M21" s="35">
        <f t="shared" si="3"/>
        <v>19.63</v>
      </c>
      <c r="N21" s="35">
        <f t="shared" si="4"/>
        <v>84</v>
      </c>
      <c r="O21" s="36">
        <f t="shared" si="5"/>
        <v>496.21</v>
      </c>
      <c r="P21" s="35">
        <f t="shared" si="6"/>
        <v>628.13</v>
      </c>
      <c r="Q21" s="35">
        <f t="shared" si="7"/>
        <v>333.69</v>
      </c>
      <c r="R21" s="35">
        <f t="shared" si="8"/>
        <v>19.63</v>
      </c>
      <c r="S21" s="35">
        <f t="shared" si="9"/>
        <v>7.85</v>
      </c>
      <c r="T21" s="35">
        <f t="shared" si="10"/>
        <v>84</v>
      </c>
      <c r="U21" s="36">
        <f t="shared" si="11"/>
        <v>1073.3</v>
      </c>
      <c r="V21" s="24">
        <v>0</v>
      </c>
      <c r="W21" s="24">
        <f t="shared" si="12"/>
        <v>3878.79</v>
      </c>
      <c r="X21" s="24">
        <f t="shared" si="13"/>
        <v>87.5</v>
      </c>
      <c r="Y21" s="24">
        <f t="shared" si="14"/>
        <v>65.63</v>
      </c>
      <c r="Z21" s="24">
        <f t="shared" si="15"/>
        <v>71.7</v>
      </c>
      <c r="AA21" s="24">
        <f t="shared" si="16"/>
        <v>448.11</v>
      </c>
      <c r="AB21" s="24">
        <f t="shared" si="17"/>
        <v>376.42</v>
      </c>
      <c r="AC21" s="24">
        <f t="shared" si="18"/>
        <v>6497.66</v>
      </c>
      <c r="AD21" s="42">
        <f t="shared" si="19"/>
        <v>6497.66</v>
      </c>
      <c r="AE21" s="44">
        <f t="shared" si="20"/>
        <v>77971.92</v>
      </c>
    </row>
    <row r="22" s="2" customFormat="1" ht="15" customHeight="1" spans="1:31">
      <c r="A22" s="25" t="s">
        <v>50</v>
      </c>
      <c r="B22" s="25"/>
      <c r="C22" s="25"/>
      <c r="D22" s="25"/>
      <c r="E22" s="18">
        <f t="shared" ref="E22:AE22" si="21">SUM(E4:E21)</f>
        <v>78600</v>
      </c>
      <c r="F22" s="18">
        <f t="shared" si="21"/>
        <v>0</v>
      </c>
      <c r="G22" s="18">
        <f t="shared" si="21"/>
        <v>3150</v>
      </c>
      <c r="H22" s="18">
        <f t="shared" si="21"/>
        <v>81750</v>
      </c>
      <c r="I22" s="18">
        <f t="shared" si="21"/>
        <v>66035.4</v>
      </c>
      <c r="J22" s="18">
        <f t="shared" si="21"/>
        <v>34800</v>
      </c>
      <c r="K22" s="18">
        <f t="shared" si="21"/>
        <v>5282.78</v>
      </c>
      <c r="L22" s="18">
        <f t="shared" si="21"/>
        <v>1320.76</v>
      </c>
      <c r="M22" s="18">
        <f t="shared" si="21"/>
        <v>330.19</v>
      </c>
      <c r="N22" s="18">
        <f t="shared" si="21"/>
        <v>1740</v>
      </c>
      <c r="O22" s="18">
        <f t="shared" si="21"/>
        <v>8673.73</v>
      </c>
      <c r="P22" s="18">
        <f t="shared" si="21"/>
        <v>10565.69</v>
      </c>
      <c r="Q22" s="18">
        <f t="shared" si="21"/>
        <v>5612.97</v>
      </c>
      <c r="R22" s="18">
        <f t="shared" si="21"/>
        <v>330.19</v>
      </c>
      <c r="S22" s="18">
        <f t="shared" si="21"/>
        <v>132.05</v>
      </c>
      <c r="T22" s="18">
        <f t="shared" si="21"/>
        <v>1740</v>
      </c>
      <c r="U22" s="18">
        <f t="shared" si="21"/>
        <v>18380.9</v>
      </c>
      <c r="V22" s="18">
        <f t="shared" si="21"/>
        <v>0</v>
      </c>
      <c r="W22" s="18">
        <f t="shared" si="21"/>
        <v>73076.27</v>
      </c>
      <c r="X22" s="18">
        <f t="shared" si="21"/>
        <v>1635</v>
      </c>
      <c r="Y22" s="18">
        <f t="shared" si="21"/>
        <v>1226.34</v>
      </c>
      <c r="Z22" s="18">
        <f t="shared" si="21"/>
        <v>1318.32</v>
      </c>
      <c r="AA22" s="18">
        <f t="shared" si="21"/>
        <v>8239.32</v>
      </c>
      <c r="AB22" s="18">
        <f t="shared" si="21"/>
        <v>6921.1</v>
      </c>
      <c r="AC22" s="18">
        <f t="shared" si="21"/>
        <v>119470.98</v>
      </c>
      <c r="AD22" s="18">
        <f t="shared" si="21"/>
        <v>119470.98</v>
      </c>
      <c r="AE22" s="18">
        <f t="shared" si="21"/>
        <v>1433651.76</v>
      </c>
    </row>
    <row r="24" s="3" customFormat="1" spans="1:12">
      <c r="A24" s="26" t="s">
        <v>112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</sheetData>
  <mergeCells count="25">
    <mergeCell ref="A1:AE1"/>
    <mergeCell ref="K2:O2"/>
    <mergeCell ref="P2:U2"/>
    <mergeCell ref="A22:B22"/>
    <mergeCell ref="A24:L2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工资调整预算明细表</vt:lpstr>
      <vt:lpstr>Sheet3</vt:lpstr>
      <vt:lpstr>Sheet4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沐偶之阳</cp:lastModifiedBy>
  <dcterms:created xsi:type="dcterms:W3CDTF">2017-08-02T17:52:00Z</dcterms:created>
  <dcterms:modified xsi:type="dcterms:W3CDTF">2022-02-22T02:44:31Z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15FB07121C9740D4BC9BF790ED0AF72E</vt:lpwstr>
  </property>
</Properties>
</file>