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笔试人员名单" sheetId="1" r:id="rId1"/>
  </sheets>
  <definedNames>
    <definedName name="_xlnm._FilterDatabase" localSheetId="0" hidden="1">笔试人员名单!$A$2:$G$1441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<sst xmlns="http://schemas.openxmlformats.org/spreadsheetml/2006/main" count="3546" uniqueCount="72">
  <si>
    <t>海南热带海洋学院2023年公开招聘员额制工作人员笔试人员名单</t>
  </si>
  <si>
    <t>序号</t>
  </si>
  <si>
    <t>岗位代码</t>
  </si>
  <si>
    <t>岗位名称</t>
  </si>
  <si>
    <t>岗位性质</t>
  </si>
  <si>
    <t>姓名</t>
  </si>
  <si>
    <t>笔试内容</t>
  </si>
  <si>
    <t>备  注
（重名考生请以身份证号尾六位区分）</t>
  </si>
  <si>
    <t>通信工程专业教师</t>
  </si>
  <si>
    <t>教师岗笔试</t>
  </si>
  <si>
    <t>电子信息科学与技术专业教师</t>
  </si>
  <si>
    <t>轮机工程专业教师1</t>
  </si>
  <si>
    <t>轮机工程专业教师2</t>
  </si>
  <si>
    <t>计算机类专业教师</t>
  </si>
  <si>
    <t>物理学专业教师</t>
  </si>
  <si>
    <t>教师岗</t>
  </si>
  <si>
    <t>化学专业教师</t>
  </si>
  <si>
    <t>汉语言文学专业教师</t>
  </si>
  <si>
    <t>秘书学专业教师</t>
  </si>
  <si>
    <t>新闻学专业教师</t>
  </si>
  <si>
    <t>国际事务与国际关系专业教师</t>
  </si>
  <si>
    <t>历史学专业教师</t>
  </si>
  <si>
    <t>学前教育（专）专业教师</t>
  </si>
  <si>
    <t>旅游管理（专科）专业老师</t>
  </si>
  <si>
    <t>婴幼儿托育服务与管理（专）专业教师</t>
  </si>
  <si>
    <t>社区管理与服务专业教师</t>
  </si>
  <si>
    <t>大数据与会计专业教师</t>
  </si>
  <si>
    <t>中医养生保健专业教师</t>
  </si>
  <si>
    <t>园林技术专业教师</t>
  </si>
  <si>
    <t>海事管理专业教师</t>
  </si>
  <si>
    <t>旅游管理（中奥）专业教师</t>
  </si>
  <si>
    <t>市场营销（中奥）专业教师</t>
  </si>
  <si>
    <t>泰语专业教师</t>
  </si>
  <si>
    <t>思政课教师</t>
  </si>
  <si>
    <t>公共体育教师</t>
  </si>
  <si>
    <t>舞蹈编导（舞蹈基训）教师</t>
  </si>
  <si>
    <t>音乐表演专业教师1（钢琴表演方向）</t>
  </si>
  <si>
    <t>音乐学专业教师（电子音乐作曲方向）</t>
  </si>
  <si>
    <t>管理岗1</t>
  </si>
  <si>
    <t>管理岗笔试</t>
  </si>
  <si>
    <t>管理岗</t>
  </si>
  <si>
    <t>管理岗2</t>
  </si>
  <si>
    <t>管理岗3</t>
  </si>
  <si>
    <t>管理岗7</t>
  </si>
  <si>
    <t>管理岗8</t>
  </si>
  <si>
    <t>三亚校区辅导员1</t>
  </si>
  <si>
    <t>辅导员岗笔试</t>
  </si>
  <si>
    <t>辅导员岗</t>
  </si>
  <si>
    <t>三亚校区辅导员2</t>
  </si>
  <si>
    <t>五指山校区辅导员1</t>
  </si>
  <si>
    <t>五指山校区辅导员2</t>
  </si>
  <si>
    <t>行政秘书</t>
  </si>
  <si>
    <t>秘书岗</t>
  </si>
  <si>
    <t>秘书岗笔试</t>
  </si>
  <si>
    <t>研究生秘书</t>
  </si>
  <si>
    <t>教学秘书1</t>
  </si>
  <si>
    <t>教学秘书2</t>
  </si>
  <si>
    <t>教学秘书</t>
  </si>
  <si>
    <t>食品专业实验员</t>
  </si>
  <si>
    <t>实验员岗</t>
  </si>
  <si>
    <t>教学科研辅助岗笔试</t>
  </si>
  <si>
    <t>旅游管理实验员</t>
  </si>
  <si>
    <t>稽核员</t>
  </si>
  <si>
    <t>其他专业技术岗</t>
  </si>
  <si>
    <t>会计（工资税务复核岗）</t>
  </si>
  <si>
    <t>分析测试实验技术员</t>
  </si>
  <si>
    <t>实验员</t>
  </si>
  <si>
    <t>咨询部馆员</t>
  </si>
  <si>
    <t>心理咨询师</t>
  </si>
  <si>
    <t>医生</t>
  </si>
  <si>
    <t>采购办公室职员1</t>
  </si>
  <si>
    <t>招标办公室职员1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</si>
</sst>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1"/>
  <sheetViews>
    <sheetView tabSelected="1" zoomScaleSheetLayoutView="60" workbookViewId="0">
      <pane ySplit="2" topLeftCell="A3" activePane="bottomLeft" state="frozen"/>
      <selection/>
      <selection pane="bottomLeft" activeCell="D1451" sqref="D1451"/>
    </sheetView>
  </sheetViews>
  <sheetFormatPr defaultColWidth="9" defaultRowHeight="30" customHeight="1"/>
  <cols>
    <col min="1" max="2" width="9" style="2"/>
    <col min="3" max="3" width="25.75" style="2" customWidth="1"/>
    <col min="4" max="4" width="15" style="2" customWidth="1"/>
    <col min="5" max="5" width="11.225" style="2" customWidth="1"/>
    <col min="6" max="6" width="20.3333333333333" style="2" customWidth="1"/>
    <col min="7" max="7" width="33.625" style="2" customWidth="1"/>
    <col min="8" max="16384" width="9" style="2"/>
  </cols>
  <sheetData>
    <row r="1" ht="3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  <c r="I2" s="6"/>
      <c r="J2" s="6"/>
    </row>
    <row r="3" ht="18" customHeight="1" spans="1:10">
      <c r="A3" s="7">
        <v>1</v>
      </c>
      <c r="B3" s="7" t="str">
        <f t="shared" ref="B3:B13" si="0">"0102"</f>
        <v>0102</v>
      </c>
      <c r="C3" s="7" t="s">
        <v>8</v>
      </c>
      <c r="D3" s="7" t="str">
        <f t="shared" ref="D3:D65" si="1">"教师岗"</f>
        <v>教师岗</v>
      </c>
      <c r="E3" s="7" t="str">
        <f>"谭运馨"</f>
        <v>谭运馨</v>
      </c>
      <c r="F3" s="7" t="s">
        <v>9</v>
      </c>
      <c r="G3" s="7"/>
      <c r="H3" s="8"/>
      <c r="I3" s="8"/>
      <c r="J3" s="8"/>
    </row>
    <row r="4" ht="18" customHeight="1" spans="1:7">
      <c r="A4" s="7">
        <v>2</v>
      </c>
      <c r="B4" s="7" t="str">
        <f t="shared" si="0"/>
        <v>0102</v>
      </c>
      <c r="C4" s="7" t="s">
        <v>8</v>
      </c>
      <c r="D4" s="7" t="str">
        <f t="shared" si="1"/>
        <v>教师岗</v>
      </c>
      <c r="E4" s="7" t="str">
        <f>"付茜茜"</f>
        <v>付茜茜</v>
      </c>
      <c r="F4" s="7" t="s">
        <v>9</v>
      </c>
      <c r="G4" s="7"/>
    </row>
    <row r="5" ht="18" customHeight="1" spans="1:7">
      <c r="A5" s="7">
        <v>3</v>
      </c>
      <c r="B5" s="7" t="str">
        <f t="shared" si="0"/>
        <v>0102</v>
      </c>
      <c r="C5" s="7" t="s">
        <v>8</v>
      </c>
      <c r="D5" s="7" t="str">
        <f t="shared" si="1"/>
        <v>教师岗</v>
      </c>
      <c r="E5" s="7" t="str">
        <f>"刘宇"</f>
        <v>刘宇</v>
      </c>
      <c r="F5" s="7" t="s">
        <v>9</v>
      </c>
      <c r="G5" s="7"/>
    </row>
    <row r="6" ht="18" customHeight="1" spans="1:7">
      <c r="A6" s="7">
        <v>4</v>
      </c>
      <c r="B6" s="7" t="str">
        <f t="shared" si="0"/>
        <v>0102</v>
      </c>
      <c r="C6" s="7" t="s">
        <v>8</v>
      </c>
      <c r="D6" s="7" t="str">
        <f t="shared" si="1"/>
        <v>教师岗</v>
      </c>
      <c r="E6" s="7" t="str">
        <f>"姜晓敏"</f>
        <v>姜晓敏</v>
      </c>
      <c r="F6" s="7" t="s">
        <v>9</v>
      </c>
      <c r="G6" s="7"/>
    </row>
    <row r="7" ht="18" customHeight="1" spans="1:7">
      <c r="A7" s="7">
        <v>5</v>
      </c>
      <c r="B7" s="7" t="str">
        <f t="shared" si="0"/>
        <v>0102</v>
      </c>
      <c r="C7" s="7" t="s">
        <v>8</v>
      </c>
      <c r="D7" s="7" t="str">
        <f t="shared" si="1"/>
        <v>教师岗</v>
      </c>
      <c r="E7" s="7" t="str">
        <f>"张博"</f>
        <v>张博</v>
      </c>
      <c r="F7" s="7" t="s">
        <v>9</v>
      </c>
      <c r="G7" s="7"/>
    </row>
    <row r="8" ht="18" customHeight="1" spans="1:7">
      <c r="A8" s="7">
        <v>6</v>
      </c>
      <c r="B8" s="7" t="str">
        <f t="shared" si="0"/>
        <v>0102</v>
      </c>
      <c r="C8" s="7" t="s">
        <v>8</v>
      </c>
      <c r="D8" s="7" t="str">
        <f t="shared" si="1"/>
        <v>教师岗</v>
      </c>
      <c r="E8" s="7" t="str">
        <f>"张宝庆"</f>
        <v>张宝庆</v>
      </c>
      <c r="F8" s="7" t="s">
        <v>9</v>
      </c>
      <c r="G8" s="7"/>
    </row>
    <row r="9" ht="18" customHeight="1" spans="1:7">
      <c r="A9" s="7">
        <v>7</v>
      </c>
      <c r="B9" s="7" t="str">
        <f t="shared" si="0"/>
        <v>0102</v>
      </c>
      <c r="C9" s="7" t="s">
        <v>8</v>
      </c>
      <c r="D9" s="7" t="str">
        <f t="shared" si="1"/>
        <v>教师岗</v>
      </c>
      <c r="E9" s="7" t="str">
        <f>"魏孟然"</f>
        <v>魏孟然</v>
      </c>
      <c r="F9" s="7" t="s">
        <v>9</v>
      </c>
      <c r="G9" s="7"/>
    </row>
    <row r="10" ht="18" customHeight="1" spans="1:7">
      <c r="A10" s="7">
        <v>8</v>
      </c>
      <c r="B10" s="7" t="str">
        <f t="shared" si="0"/>
        <v>0102</v>
      </c>
      <c r="C10" s="7" t="s">
        <v>8</v>
      </c>
      <c r="D10" s="7" t="str">
        <f t="shared" si="1"/>
        <v>教师岗</v>
      </c>
      <c r="E10" s="7" t="str">
        <f>"王晓蕾"</f>
        <v>王晓蕾</v>
      </c>
      <c r="F10" s="7" t="s">
        <v>9</v>
      </c>
      <c r="G10" s="7"/>
    </row>
    <row r="11" ht="18" customHeight="1" spans="1:7">
      <c r="A11" s="7">
        <v>9</v>
      </c>
      <c r="B11" s="7" t="str">
        <f t="shared" si="0"/>
        <v>0102</v>
      </c>
      <c r="C11" s="7" t="s">
        <v>8</v>
      </c>
      <c r="D11" s="7" t="str">
        <f t="shared" si="1"/>
        <v>教师岗</v>
      </c>
      <c r="E11" s="7" t="str">
        <f>"揭琦娟"</f>
        <v>揭琦娟</v>
      </c>
      <c r="F11" s="7" t="s">
        <v>9</v>
      </c>
      <c r="G11" s="7"/>
    </row>
    <row r="12" ht="18" customHeight="1" spans="1:7">
      <c r="A12" s="7">
        <v>10</v>
      </c>
      <c r="B12" s="7" t="str">
        <f t="shared" si="0"/>
        <v>0102</v>
      </c>
      <c r="C12" s="7" t="s">
        <v>8</v>
      </c>
      <c r="D12" s="7" t="str">
        <f t="shared" si="1"/>
        <v>教师岗</v>
      </c>
      <c r="E12" s="7" t="str">
        <f>"龚轩"</f>
        <v>龚轩</v>
      </c>
      <c r="F12" s="7" t="s">
        <v>9</v>
      </c>
      <c r="G12" s="7"/>
    </row>
    <row r="13" ht="18" customHeight="1" spans="1:7">
      <c r="A13" s="7">
        <v>11</v>
      </c>
      <c r="B13" s="7" t="str">
        <f t="shared" si="0"/>
        <v>0102</v>
      </c>
      <c r="C13" s="7" t="s">
        <v>8</v>
      </c>
      <c r="D13" s="7" t="str">
        <f t="shared" si="1"/>
        <v>教师岗</v>
      </c>
      <c r="E13" s="7" t="str">
        <f>"徐丹萍"</f>
        <v>徐丹萍</v>
      </c>
      <c r="F13" s="7" t="s">
        <v>9</v>
      </c>
      <c r="G13" s="7"/>
    </row>
    <row r="14" ht="18" customHeight="1" spans="1:7">
      <c r="A14" s="7">
        <v>12</v>
      </c>
      <c r="B14" s="7" t="str">
        <f t="shared" ref="B14:B24" si="2">"0103"</f>
        <v>0103</v>
      </c>
      <c r="C14" s="7" t="s">
        <v>10</v>
      </c>
      <c r="D14" s="7" t="str">
        <f t="shared" si="1"/>
        <v>教师岗</v>
      </c>
      <c r="E14" s="7" t="str">
        <f>"郭鑫立"</f>
        <v>郭鑫立</v>
      </c>
      <c r="F14" s="7" t="s">
        <v>9</v>
      </c>
      <c r="G14" s="7"/>
    </row>
    <row r="15" ht="18" customHeight="1" spans="1:7">
      <c r="A15" s="7">
        <v>13</v>
      </c>
      <c r="B15" s="7" t="str">
        <f t="shared" si="2"/>
        <v>0103</v>
      </c>
      <c r="C15" s="7" t="s">
        <v>10</v>
      </c>
      <c r="D15" s="7" t="str">
        <f t="shared" si="1"/>
        <v>教师岗</v>
      </c>
      <c r="E15" s="7" t="str">
        <f>"王天冬"</f>
        <v>王天冬</v>
      </c>
      <c r="F15" s="7" t="s">
        <v>9</v>
      </c>
      <c r="G15" s="7"/>
    </row>
    <row r="16" ht="18" customHeight="1" spans="1:7">
      <c r="A16" s="7">
        <v>14</v>
      </c>
      <c r="B16" s="7" t="str">
        <f t="shared" si="2"/>
        <v>0103</v>
      </c>
      <c r="C16" s="7" t="s">
        <v>10</v>
      </c>
      <c r="D16" s="7" t="str">
        <f t="shared" si="1"/>
        <v>教师岗</v>
      </c>
      <c r="E16" s="7" t="str">
        <f>"章信盛"</f>
        <v>章信盛</v>
      </c>
      <c r="F16" s="7" t="s">
        <v>9</v>
      </c>
      <c r="G16" s="7"/>
    </row>
    <row r="17" ht="18" customHeight="1" spans="1:7">
      <c r="A17" s="7">
        <v>15</v>
      </c>
      <c r="B17" s="7" t="str">
        <f t="shared" si="2"/>
        <v>0103</v>
      </c>
      <c r="C17" s="7" t="s">
        <v>10</v>
      </c>
      <c r="D17" s="7" t="str">
        <f t="shared" si="1"/>
        <v>教师岗</v>
      </c>
      <c r="E17" s="7" t="str">
        <f>"邹宁波"</f>
        <v>邹宁波</v>
      </c>
      <c r="F17" s="7" t="s">
        <v>9</v>
      </c>
      <c r="G17" s="7"/>
    </row>
    <row r="18" ht="18" customHeight="1" spans="1:7">
      <c r="A18" s="7">
        <v>16</v>
      </c>
      <c r="B18" s="7" t="str">
        <f t="shared" si="2"/>
        <v>0103</v>
      </c>
      <c r="C18" s="7" t="s">
        <v>10</v>
      </c>
      <c r="D18" s="7" t="str">
        <f t="shared" si="1"/>
        <v>教师岗</v>
      </c>
      <c r="E18" s="7" t="str">
        <f>"刘艺娟"</f>
        <v>刘艺娟</v>
      </c>
      <c r="F18" s="7" t="s">
        <v>9</v>
      </c>
      <c r="G18" s="7"/>
    </row>
    <row r="19" ht="18" customHeight="1" spans="1:7">
      <c r="A19" s="7">
        <v>17</v>
      </c>
      <c r="B19" s="7" t="str">
        <f t="shared" si="2"/>
        <v>0103</v>
      </c>
      <c r="C19" s="7" t="s">
        <v>10</v>
      </c>
      <c r="D19" s="7" t="str">
        <f t="shared" si="1"/>
        <v>教师岗</v>
      </c>
      <c r="E19" s="7" t="str">
        <f>"常硕"</f>
        <v>常硕</v>
      </c>
      <c r="F19" s="7" t="s">
        <v>9</v>
      </c>
      <c r="G19" s="7"/>
    </row>
    <row r="20" ht="18" customHeight="1" spans="1:7">
      <c r="A20" s="7">
        <v>18</v>
      </c>
      <c r="B20" s="7" t="str">
        <f t="shared" si="2"/>
        <v>0103</v>
      </c>
      <c r="C20" s="7" t="s">
        <v>10</v>
      </c>
      <c r="D20" s="7" t="str">
        <f t="shared" si="1"/>
        <v>教师岗</v>
      </c>
      <c r="E20" s="7" t="str">
        <f>"张泽翔"</f>
        <v>张泽翔</v>
      </c>
      <c r="F20" s="7" t="s">
        <v>9</v>
      </c>
      <c r="G20" s="7"/>
    </row>
    <row r="21" ht="18" customHeight="1" spans="1:7">
      <c r="A21" s="7">
        <v>19</v>
      </c>
      <c r="B21" s="7" t="str">
        <f t="shared" si="2"/>
        <v>0103</v>
      </c>
      <c r="C21" s="7" t="s">
        <v>10</v>
      </c>
      <c r="D21" s="7" t="str">
        <f t="shared" si="1"/>
        <v>教师岗</v>
      </c>
      <c r="E21" s="7" t="str">
        <f>"张浩宇"</f>
        <v>张浩宇</v>
      </c>
      <c r="F21" s="7" t="s">
        <v>9</v>
      </c>
      <c r="G21" s="7"/>
    </row>
    <row r="22" ht="18" customHeight="1" spans="1:7">
      <c r="A22" s="7">
        <v>20</v>
      </c>
      <c r="B22" s="7" t="str">
        <f t="shared" si="2"/>
        <v>0103</v>
      </c>
      <c r="C22" s="7" t="s">
        <v>10</v>
      </c>
      <c r="D22" s="7" t="str">
        <f t="shared" si="1"/>
        <v>教师岗</v>
      </c>
      <c r="E22" s="7" t="str">
        <f>"朱王为"</f>
        <v>朱王为</v>
      </c>
      <c r="F22" s="7" t="s">
        <v>9</v>
      </c>
      <c r="G22" s="7"/>
    </row>
    <row r="23" ht="18" customHeight="1" spans="1:7">
      <c r="A23" s="7">
        <v>21</v>
      </c>
      <c r="B23" s="7" t="str">
        <f t="shared" si="2"/>
        <v>0103</v>
      </c>
      <c r="C23" s="7" t="s">
        <v>10</v>
      </c>
      <c r="D23" s="7" t="str">
        <f t="shared" si="1"/>
        <v>教师岗</v>
      </c>
      <c r="E23" s="7" t="str">
        <f>"张鹤骞"</f>
        <v>张鹤骞</v>
      </c>
      <c r="F23" s="7" t="s">
        <v>9</v>
      </c>
      <c r="G23" s="7"/>
    </row>
    <row r="24" ht="18" customHeight="1" spans="1:7">
      <c r="A24" s="7">
        <v>22</v>
      </c>
      <c r="B24" s="7" t="str">
        <f t="shared" si="2"/>
        <v>0103</v>
      </c>
      <c r="C24" s="7" t="s">
        <v>10</v>
      </c>
      <c r="D24" s="7" t="str">
        <f t="shared" si="1"/>
        <v>教师岗</v>
      </c>
      <c r="E24" s="7" t="str">
        <f>"李宁阳"</f>
        <v>李宁阳</v>
      </c>
      <c r="F24" s="7" t="s">
        <v>9</v>
      </c>
      <c r="G24" s="7"/>
    </row>
    <row r="25" ht="18" customHeight="1" spans="1:7">
      <c r="A25" s="7">
        <v>23</v>
      </c>
      <c r="B25" s="7" t="str">
        <f t="shared" ref="B25:B36" si="3">"0104"</f>
        <v>0104</v>
      </c>
      <c r="C25" s="7" t="s">
        <v>11</v>
      </c>
      <c r="D25" s="7" t="str">
        <f t="shared" si="1"/>
        <v>教师岗</v>
      </c>
      <c r="E25" s="7" t="str">
        <f>"史培博"</f>
        <v>史培博</v>
      </c>
      <c r="F25" s="7" t="s">
        <v>9</v>
      </c>
      <c r="G25" s="7"/>
    </row>
    <row r="26" ht="18" customHeight="1" spans="1:7">
      <c r="A26" s="7">
        <v>24</v>
      </c>
      <c r="B26" s="7" t="str">
        <f t="shared" si="3"/>
        <v>0104</v>
      </c>
      <c r="C26" s="7" t="s">
        <v>11</v>
      </c>
      <c r="D26" s="7" t="str">
        <f t="shared" si="1"/>
        <v>教师岗</v>
      </c>
      <c r="E26" s="7" t="str">
        <f>"梁寒"</f>
        <v>梁寒</v>
      </c>
      <c r="F26" s="7" t="s">
        <v>9</v>
      </c>
      <c r="G26" s="7"/>
    </row>
    <row r="27" ht="18" customHeight="1" spans="1:7">
      <c r="A27" s="7">
        <v>25</v>
      </c>
      <c r="B27" s="7" t="str">
        <f t="shared" si="3"/>
        <v>0104</v>
      </c>
      <c r="C27" s="7" t="s">
        <v>11</v>
      </c>
      <c r="D27" s="7" t="str">
        <f t="shared" si="1"/>
        <v>教师岗</v>
      </c>
      <c r="E27" s="7" t="str">
        <f>"王士鹏"</f>
        <v>王士鹏</v>
      </c>
      <c r="F27" s="7" t="s">
        <v>9</v>
      </c>
      <c r="G27" s="7"/>
    </row>
    <row r="28" ht="18" customHeight="1" spans="1:7">
      <c r="A28" s="7">
        <v>26</v>
      </c>
      <c r="B28" s="7" t="str">
        <f t="shared" si="3"/>
        <v>0104</v>
      </c>
      <c r="C28" s="7" t="s">
        <v>11</v>
      </c>
      <c r="D28" s="7" t="str">
        <f t="shared" si="1"/>
        <v>教师岗</v>
      </c>
      <c r="E28" s="7" t="str">
        <f>"李俊鹤"</f>
        <v>李俊鹤</v>
      </c>
      <c r="F28" s="7" t="s">
        <v>9</v>
      </c>
      <c r="G28" s="7"/>
    </row>
    <row r="29" ht="18" customHeight="1" spans="1:7">
      <c r="A29" s="7">
        <v>27</v>
      </c>
      <c r="B29" s="7" t="str">
        <f t="shared" si="3"/>
        <v>0104</v>
      </c>
      <c r="C29" s="7" t="s">
        <v>11</v>
      </c>
      <c r="D29" s="7" t="str">
        <f t="shared" si="1"/>
        <v>教师岗</v>
      </c>
      <c r="E29" s="7" t="str">
        <f>"佟伟"</f>
        <v>佟伟</v>
      </c>
      <c r="F29" s="7" t="s">
        <v>9</v>
      </c>
      <c r="G29" s="7"/>
    </row>
    <row r="30" ht="18" customHeight="1" spans="1:7">
      <c r="A30" s="7">
        <v>28</v>
      </c>
      <c r="B30" s="7" t="str">
        <f t="shared" si="3"/>
        <v>0104</v>
      </c>
      <c r="C30" s="7" t="s">
        <v>11</v>
      </c>
      <c r="D30" s="7" t="str">
        <f t="shared" si="1"/>
        <v>教师岗</v>
      </c>
      <c r="E30" s="7" t="str">
        <f>"曹新宇"</f>
        <v>曹新宇</v>
      </c>
      <c r="F30" s="7" t="s">
        <v>9</v>
      </c>
      <c r="G30" s="7"/>
    </row>
    <row r="31" ht="18" customHeight="1" spans="1:7">
      <c r="A31" s="7">
        <v>29</v>
      </c>
      <c r="B31" s="7" t="str">
        <f t="shared" si="3"/>
        <v>0104</v>
      </c>
      <c r="C31" s="7" t="s">
        <v>11</v>
      </c>
      <c r="D31" s="7" t="str">
        <f t="shared" si="1"/>
        <v>教师岗</v>
      </c>
      <c r="E31" s="7" t="str">
        <f>"张潇"</f>
        <v>张潇</v>
      </c>
      <c r="F31" s="7" t="s">
        <v>9</v>
      </c>
      <c r="G31" s="7"/>
    </row>
    <row r="32" ht="18" customHeight="1" spans="1:7">
      <c r="A32" s="7">
        <v>30</v>
      </c>
      <c r="B32" s="7" t="str">
        <f t="shared" si="3"/>
        <v>0104</v>
      </c>
      <c r="C32" s="7" t="s">
        <v>11</v>
      </c>
      <c r="D32" s="7" t="str">
        <f t="shared" si="1"/>
        <v>教师岗</v>
      </c>
      <c r="E32" s="7" t="str">
        <f>"刘西踩"</f>
        <v>刘西踩</v>
      </c>
      <c r="F32" s="7" t="s">
        <v>9</v>
      </c>
      <c r="G32" s="7"/>
    </row>
    <row r="33" ht="18" customHeight="1" spans="1:7">
      <c r="A33" s="7">
        <v>31</v>
      </c>
      <c r="B33" s="7" t="str">
        <f t="shared" si="3"/>
        <v>0104</v>
      </c>
      <c r="C33" s="7" t="s">
        <v>11</v>
      </c>
      <c r="D33" s="7" t="str">
        <f t="shared" si="1"/>
        <v>教师岗</v>
      </c>
      <c r="E33" s="7" t="str">
        <f>"于金玲"</f>
        <v>于金玲</v>
      </c>
      <c r="F33" s="7" t="s">
        <v>9</v>
      </c>
      <c r="G33" s="7"/>
    </row>
    <row r="34" ht="18" customHeight="1" spans="1:7">
      <c r="A34" s="7">
        <v>32</v>
      </c>
      <c r="B34" s="7" t="str">
        <f t="shared" si="3"/>
        <v>0104</v>
      </c>
      <c r="C34" s="7" t="s">
        <v>11</v>
      </c>
      <c r="D34" s="7" t="str">
        <f t="shared" si="1"/>
        <v>教师岗</v>
      </c>
      <c r="E34" s="7" t="str">
        <f>"张泽军"</f>
        <v>张泽军</v>
      </c>
      <c r="F34" s="7" t="s">
        <v>9</v>
      </c>
      <c r="G34" s="7"/>
    </row>
    <row r="35" ht="18" customHeight="1" spans="1:7">
      <c r="A35" s="7">
        <v>33</v>
      </c>
      <c r="B35" s="7" t="str">
        <f t="shared" si="3"/>
        <v>0104</v>
      </c>
      <c r="C35" s="7" t="s">
        <v>11</v>
      </c>
      <c r="D35" s="7" t="str">
        <f t="shared" si="1"/>
        <v>教师岗</v>
      </c>
      <c r="E35" s="7" t="str">
        <f>"王平林"</f>
        <v>王平林</v>
      </c>
      <c r="F35" s="7" t="s">
        <v>9</v>
      </c>
      <c r="G35" s="7"/>
    </row>
    <row r="36" ht="18" customHeight="1" spans="1:7">
      <c r="A36" s="7">
        <v>34</v>
      </c>
      <c r="B36" s="7" t="str">
        <f t="shared" si="3"/>
        <v>0104</v>
      </c>
      <c r="C36" s="7" t="s">
        <v>11</v>
      </c>
      <c r="D36" s="7" t="str">
        <f t="shared" si="1"/>
        <v>教师岗</v>
      </c>
      <c r="E36" s="7" t="str">
        <f>"孙硕文"</f>
        <v>孙硕文</v>
      </c>
      <c r="F36" s="7" t="s">
        <v>9</v>
      </c>
      <c r="G36" s="7"/>
    </row>
    <row r="37" ht="18" customHeight="1" spans="1:7">
      <c r="A37" s="7">
        <v>35</v>
      </c>
      <c r="B37" s="7" t="str">
        <f t="shared" ref="B37:B52" si="4">"0105"</f>
        <v>0105</v>
      </c>
      <c r="C37" s="7" t="s">
        <v>12</v>
      </c>
      <c r="D37" s="7" t="str">
        <f t="shared" si="1"/>
        <v>教师岗</v>
      </c>
      <c r="E37" s="7" t="str">
        <f>"谭功全"</f>
        <v>谭功全</v>
      </c>
      <c r="F37" s="7" t="s">
        <v>9</v>
      </c>
      <c r="G37" s="7"/>
    </row>
    <row r="38" ht="18" customHeight="1" spans="1:7">
      <c r="A38" s="7">
        <v>36</v>
      </c>
      <c r="B38" s="7" t="str">
        <f t="shared" si="4"/>
        <v>0105</v>
      </c>
      <c r="C38" s="7" t="s">
        <v>12</v>
      </c>
      <c r="D38" s="7" t="str">
        <f t="shared" si="1"/>
        <v>教师岗</v>
      </c>
      <c r="E38" s="7" t="str">
        <f>"符良书"</f>
        <v>符良书</v>
      </c>
      <c r="F38" s="7" t="s">
        <v>9</v>
      </c>
      <c r="G38" s="7"/>
    </row>
    <row r="39" ht="18" customHeight="1" spans="1:7">
      <c r="A39" s="7">
        <v>37</v>
      </c>
      <c r="B39" s="7" t="str">
        <f t="shared" si="4"/>
        <v>0105</v>
      </c>
      <c r="C39" s="7" t="s">
        <v>12</v>
      </c>
      <c r="D39" s="7" t="str">
        <f t="shared" si="1"/>
        <v>教师岗</v>
      </c>
      <c r="E39" s="7" t="str">
        <f>"肖湘督"</f>
        <v>肖湘督</v>
      </c>
      <c r="F39" s="7" t="s">
        <v>9</v>
      </c>
      <c r="G39" s="7"/>
    </row>
    <row r="40" ht="18" customHeight="1" spans="1:7">
      <c r="A40" s="7">
        <v>38</v>
      </c>
      <c r="B40" s="7" t="str">
        <f t="shared" si="4"/>
        <v>0105</v>
      </c>
      <c r="C40" s="7" t="s">
        <v>12</v>
      </c>
      <c r="D40" s="7" t="str">
        <f t="shared" si="1"/>
        <v>教师岗</v>
      </c>
      <c r="E40" s="7" t="str">
        <f>"王健伟"</f>
        <v>王健伟</v>
      </c>
      <c r="F40" s="7" t="s">
        <v>9</v>
      </c>
      <c r="G40" s="7"/>
    </row>
    <row r="41" ht="18" customHeight="1" spans="1:7">
      <c r="A41" s="7">
        <v>39</v>
      </c>
      <c r="B41" s="7" t="str">
        <f t="shared" si="4"/>
        <v>0105</v>
      </c>
      <c r="C41" s="7" t="s">
        <v>12</v>
      </c>
      <c r="D41" s="7" t="str">
        <f t="shared" si="1"/>
        <v>教师岗</v>
      </c>
      <c r="E41" s="7" t="str">
        <f>"杨宪洪"</f>
        <v>杨宪洪</v>
      </c>
      <c r="F41" s="7" t="s">
        <v>9</v>
      </c>
      <c r="G41" s="7"/>
    </row>
    <row r="42" ht="18" customHeight="1" spans="1:7">
      <c r="A42" s="7">
        <v>40</v>
      </c>
      <c r="B42" s="7" t="str">
        <f t="shared" si="4"/>
        <v>0105</v>
      </c>
      <c r="C42" s="7" t="s">
        <v>12</v>
      </c>
      <c r="D42" s="7" t="str">
        <f t="shared" si="1"/>
        <v>教师岗</v>
      </c>
      <c r="E42" s="7" t="str">
        <f>"郭布琨"</f>
        <v>郭布琨</v>
      </c>
      <c r="F42" s="7" t="s">
        <v>9</v>
      </c>
      <c r="G42" s="7"/>
    </row>
    <row r="43" ht="18" customHeight="1" spans="1:7">
      <c r="A43" s="7">
        <v>41</v>
      </c>
      <c r="B43" s="7" t="str">
        <f t="shared" si="4"/>
        <v>0105</v>
      </c>
      <c r="C43" s="7" t="s">
        <v>12</v>
      </c>
      <c r="D43" s="7" t="str">
        <f t="shared" si="1"/>
        <v>教师岗</v>
      </c>
      <c r="E43" s="7" t="str">
        <f>"肖文迁"</f>
        <v>肖文迁</v>
      </c>
      <c r="F43" s="7" t="s">
        <v>9</v>
      </c>
      <c r="G43" s="7"/>
    </row>
    <row r="44" ht="18" customHeight="1" spans="1:7">
      <c r="A44" s="7">
        <v>42</v>
      </c>
      <c r="B44" s="7" t="str">
        <f t="shared" si="4"/>
        <v>0105</v>
      </c>
      <c r="C44" s="7" t="s">
        <v>12</v>
      </c>
      <c r="D44" s="7" t="str">
        <f t="shared" si="1"/>
        <v>教师岗</v>
      </c>
      <c r="E44" s="7" t="str">
        <f>"朱翊天"</f>
        <v>朱翊天</v>
      </c>
      <c r="F44" s="7" t="s">
        <v>9</v>
      </c>
      <c r="G44" s="7"/>
    </row>
    <row r="45" ht="18" customHeight="1" spans="1:7">
      <c r="A45" s="7">
        <v>43</v>
      </c>
      <c r="B45" s="7" t="str">
        <f t="shared" si="4"/>
        <v>0105</v>
      </c>
      <c r="C45" s="7" t="s">
        <v>12</v>
      </c>
      <c r="D45" s="7" t="str">
        <f t="shared" si="1"/>
        <v>教师岗</v>
      </c>
      <c r="E45" s="7" t="str">
        <f>"邱灿欢"</f>
        <v>邱灿欢</v>
      </c>
      <c r="F45" s="7" t="s">
        <v>9</v>
      </c>
      <c r="G45" s="7"/>
    </row>
    <row r="46" ht="18" customHeight="1" spans="1:7">
      <c r="A46" s="7">
        <v>44</v>
      </c>
      <c r="B46" s="7" t="str">
        <f t="shared" si="4"/>
        <v>0105</v>
      </c>
      <c r="C46" s="7" t="s">
        <v>12</v>
      </c>
      <c r="D46" s="7" t="str">
        <f t="shared" si="1"/>
        <v>教师岗</v>
      </c>
      <c r="E46" s="7" t="str">
        <f>"周媛"</f>
        <v>周媛</v>
      </c>
      <c r="F46" s="7" t="s">
        <v>9</v>
      </c>
      <c r="G46" s="7"/>
    </row>
    <row r="47" ht="18" customHeight="1" spans="1:7">
      <c r="A47" s="7">
        <v>45</v>
      </c>
      <c r="B47" s="7" t="str">
        <f t="shared" si="4"/>
        <v>0105</v>
      </c>
      <c r="C47" s="7" t="s">
        <v>12</v>
      </c>
      <c r="D47" s="7" t="str">
        <f t="shared" si="1"/>
        <v>教师岗</v>
      </c>
      <c r="E47" s="7" t="str">
        <f>"王博旅"</f>
        <v>王博旅</v>
      </c>
      <c r="F47" s="7" t="s">
        <v>9</v>
      </c>
      <c r="G47" s="7"/>
    </row>
    <row r="48" ht="18" customHeight="1" spans="1:7">
      <c r="A48" s="7">
        <v>46</v>
      </c>
      <c r="B48" s="7" t="str">
        <f t="shared" si="4"/>
        <v>0105</v>
      </c>
      <c r="C48" s="7" t="s">
        <v>12</v>
      </c>
      <c r="D48" s="7" t="str">
        <f t="shared" si="1"/>
        <v>教师岗</v>
      </c>
      <c r="E48" s="7" t="str">
        <f>"肖敏"</f>
        <v>肖敏</v>
      </c>
      <c r="F48" s="7" t="s">
        <v>9</v>
      </c>
      <c r="G48" s="7"/>
    </row>
    <row r="49" ht="18" customHeight="1" spans="1:7">
      <c r="A49" s="7">
        <v>47</v>
      </c>
      <c r="B49" s="7" t="str">
        <f t="shared" si="4"/>
        <v>0105</v>
      </c>
      <c r="C49" s="7" t="s">
        <v>12</v>
      </c>
      <c r="D49" s="7" t="str">
        <f t="shared" si="1"/>
        <v>教师岗</v>
      </c>
      <c r="E49" s="7" t="str">
        <f>"谢光洪"</f>
        <v>谢光洪</v>
      </c>
      <c r="F49" s="7" t="s">
        <v>9</v>
      </c>
      <c r="G49" s="7"/>
    </row>
    <row r="50" ht="18" customHeight="1" spans="1:7">
      <c r="A50" s="7">
        <v>48</v>
      </c>
      <c r="B50" s="7" t="str">
        <f t="shared" si="4"/>
        <v>0105</v>
      </c>
      <c r="C50" s="7" t="s">
        <v>12</v>
      </c>
      <c r="D50" s="7" t="str">
        <f t="shared" si="1"/>
        <v>教师岗</v>
      </c>
      <c r="E50" s="7" t="str">
        <f>"谢洲晖"</f>
        <v>谢洲晖</v>
      </c>
      <c r="F50" s="7" t="s">
        <v>9</v>
      </c>
      <c r="G50" s="7"/>
    </row>
    <row r="51" ht="18" customHeight="1" spans="1:7">
      <c r="A51" s="7">
        <v>49</v>
      </c>
      <c r="B51" s="7" t="str">
        <f t="shared" si="4"/>
        <v>0105</v>
      </c>
      <c r="C51" s="7" t="s">
        <v>12</v>
      </c>
      <c r="D51" s="7" t="str">
        <f t="shared" si="1"/>
        <v>教师岗</v>
      </c>
      <c r="E51" s="7" t="str">
        <f>"王仕伟"</f>
        <v>王仕伟</v>
      </c>
      <c r="F51" s="7" t="s">
        <v>9</v>
      </c>
      <c r="G51" s="7"/>
    </row>
    <row r="52" ht="18" customHeight="1" spans="1:7">
      <c r="A52" s="7">
        <v>50</v>
      </c>
      <c r="B52" s="7" t="str">
        <f t="shared" si="4"/>
        <v>0105</v>
      </c>
      <c r="C52" s="7" t="s">
        <v>12</v>
      </c>
      <c r="D52" s="7" t="str">
        <f t="shared" si="1"/>
        <v>教师岗</v>
      </c>
      <c r="E52" s="7" t="str">
        <f>"张乾永"</f>
        <v>张乾永</v>
      </c>
      <c r="F52" s="7" t="s">
        <v>9</v>
      </c>
      <c r="G52" s="7"/>
    </row>
    <row r="53" ht="18" customHeight="1" spans="1:7">
      <c r="A53" s="7">
        <v>51</v>
      </c>
      <c r="B53" s="7" t="str">
        <f t="shared" ref="B53:B66" si="5">"0110"</f>
        <v>0110</v>
      </c>
      <c r="C53" s="7" t="s">
        <v>13</v>
      </c>
      <c r="D53" s="7" t="str">
        <f t="shared" si="1"/>
        <v>教师岗</v>
      </c>
      <c r="E53" s="7" t="str">
        <f>"王之原"</f>
        <v>王之原</v>
      </c>
      <c r="F53" s="7" t="s">
        <v>9</v>
      </c>
      <c r="G53" s="7"/>
    </row>
    <row r="54" ht="18" customHeight="1" spans="1:7">
      <c r="A54" s="7">
        <v>52</v>
      </c>
      <c r="B54" s="7" t="str">
        <f t="shared" si="5"/>
        <v>0110</v>
      </c>
      <c r="C54" s="7" t="s">
        <v>13</v>
      </c>
      <c r="D54" s="7" t="str">
        <f t="shared" si="1"/>
        <v>教师岗</v>
      </c>
      <c r="E54" s="7" t="str">
        <f>"郝思聪"</f>
        <v>郝思聪</v>
      </c>
      <c r="F54" s="7" t="s">
        <v>9</v>
      </c>
      <c r="G54" s="7"/>
    </row>
    <row r="55" ht="18" customHeight="1" spans="1:7">
      <c r="A55" s="7">
        <v>53</v>
      </c>
      <c r="B55" s="7" t="str">
        <f t="shared" si="5"/>
        <v>0110</v>
      </c>
      <c r="C55" s="7" t="s">
        <v>13</v>
      </c>
      <c r="D55" s="7" t="str">
        <f t="shared" si="1"/>
        <v>教师岗</v>
      </c>
      <c r="E55" s="7" t="str">
        <f>"姜鑫"</f>
        <v>姜鑫</v>
      </c>
      <c r="F55" s="7" t="s">
        <v>9</v>
      </c>
      <c r="G55" s="7"/>
    </row>
    <row r="56" ht="18" customHeight="1" spans="1:7">
      <c r="A56" s="7">
        <v>54</v>
      </c>
      <c r="B56" s="7" t="str">
        <f t="shared" si="5"/>
        <v>0110</v>
      </c>
      <c r="C56" s="7" t="s">
        <v>13</v>
      </c>
      <c r="D56" s="7" t="str">
        <f t="shared" si="1"/>
        <v>教师岗</v>
      </c>
      <c r="E56" s="7" t="str">
        <f>"丁醒醒"</f>
        <v>丁醒醒</v>
      </c>
      <c r="F56" s="7" t="s">
        <v>9</v>
      </c>
      <c r="G56" s="7"/>
    </row>
    <row r="57" ht="18" customHeight="1" spans="1:7">
      <c r="A57" s="7">
        <v>55</v>
      </c>
      <c r="B57" s="7" t="str">
        <f t="shared" si="5"/>
        <v>0110</v>
      </c>
      <c r="C57" s="7" t="s">
        <v>13</v>
      </c>
      <c r="D57" s="7" t="str">
        <f t="shared" si="1"/>
        <v>教师岗</v>
      </c>
      <c r="E57" s="7" t="str">
        <f>"郭盼盼"</f>
        <v>郭盼盼</v>
      </c>
      <c r="F57" s="7" t="s">
        <v>9</v>
      </c>
      <c r="G57" s="7"/>
    </row>
    <row r="58" ht="18" customHeight="1" spans="1:7">
      <c r="A58" s="7">
        <v>56</v>
      </c>
      <c r="B58" s="7" t="str">
        <f t="shared" si="5"/>
        <v>0110</v>
      </c>
      <c r="C58" s="7" t="s">
        <v>13</v>
      </c>
      <c r="D58" s="7" t="str">
        <f t="shared" si="1"/>
        <v>教师岗</v>
      </c>
      <c r="E58" s="7" t="str">
        <f>"夏雪雅"</f>
        <v>夏雪雅</v>
      </c>
      <c r="F58" s="7" t="s">
        <v>9</v>
      </c>
      <c r="G58" s="7"/>
    </row>
    <row r="59" ht="18" customHeight="1" spans="1:7">
      <c r="A59" s="7">
        <v>57</v>
      </c>
      <c r="B59" s="7" t="str">
        <f t="shared" si="5"/>
        <v>0110</v>
      </c>
      <c r="C59" s="7" t="s">
        <v>13</v>
      </c>
      <c r="D59" s="7" t="str">
        <f t="shared" si="1"/>
        <v>教师岗</v>
      </c>
      <c r="E59" s="7" t="str">
        <f>"吴其双"</f>
        <v>吴其双</v>
      </c>
      <c r="F59" s="7" t="s">
        <v>9</v>
      </c>
      <c r="G59" s="7"/>
    </row>
    <row r="60" ht="18" customHeight="1" spans="1:7">
      <c r="A60" s="7">
        <v>58</v>
      </c>
      <c r="B60" s="7" t="str">
        <f t="shared" si="5"/>
        <v>0110</v>
      </c>
      <c r="C60" s="7" t="s">
        <v>13</v>
      </c>
      <c r="D60" s="7" t="str">
        <f t="shared" si="1"/>
        <v>教师岗</v>
      </c>
      <c r="E60" s="7" t="str">
        <f>"林子欣"</f>
        <v>林子欣</v>
      </c>
      <c r="F60" s="7" t="s">
        <v>9</v>
      </c>
      <c r="G60" s="7"/>
    </row>
    <row r="61" ht="18" customHeight="1" spans="1:7">
      <c r="A61" s="7">
        <v>59</v>
      </c>
      <c r="B61" s="7" t="str">
        <f t="shared" si="5"/>
        <v>0110</v>
      </c>
      <c r="C61" s="7" t="s">
        <v>13</v>
      </c>
      <c r="D61" s="7" t="str">
        <f t="shared" si="1"/>
        <v>教师岗</v>
      </c>
      <c r="E61" s="7" t="str">
        <f>"伍沐原"</f>
        <v>伍沐原</v>
      </c>
      <c r="F61" s="7" t="s">
        <v>9</v>
      </c>
      <c r="G61" s="7"/>
    </row>
    <row r="62" ht="18" customHeight="1" spans="1:7">
      <c r="A62" s="7">
        <v>60</v>
      </c>
      <c r="B62" s="7" t="str">
        <f t="shared" si="5"/>
        <v>0110</v>
      </c>
      <c r="C62" s="7" t="s">
        <v>13</v>
      </c>
      <c r="D62" s="7" t="str">
        <f t="shared" si="1"/>
        <v>教师岗</v>
      </c>
      <c r="E62" s="7" t="str">
        <f>"雷景佩"</f>
        <v>雷景佩</v>
      </c>
      <c r="F62" s="7" t="s">
        <v>9</v>
      </c>
      <c r="G62" s="7"/>
    </row>
    <row r="63" ht="18" customHeight="1" spans="1:7">
      <c r="A63" s="7">
        <v>61</v>
      </c>
      <c r="B63" s="7" t="str">
        <f t="shared" si="5"/>
        <v>0110</v>
      </c>
      <c r="C63" s="7" t="s">
        <v>13</v>
      </c>
      <c r="D63" s="7" t="str">
        <f t="shared" ref="D63:D75" si="6">"教师岗"</f>
        <v>教师岗</v>
      </c>
      <c r="E63" s="7" t="str">
        <f>"王磊"</f>
        <v>王磊</v>
      </c>
      <c r="F63" s="7" t="s">
        <v>9</v>
      </c>
      <c r="G63" s="7"/>
    </row>
    <row r="64" ht="18" customHeight="1" spans="1:7">
      <c r="A64" s="7">
        <v>62</v>
      </c>
      <c r="B64" s="7" t="str">
        <f t="shared" si="5"/>
        <v>0110</v>
      </c>
      <c r="C64" s="7" t="s">
        <v>13</v>
      </c>
      <c r="D64" s="7" t="str">
        <f t="shared" si="6"/>
        <v>教师岗</v>
      </c>
      <c r="E64" s="7" t="str">
        <f>"张一帆"</f>
        <v>张一帆</v>
      </c>
      <c r="F64" s="7" t="s">
        <v>9</v>
      </c>
      <c r="G64" s="7"/>
    </row>
    <row r="65" ht="18" customHeight="1" spans="1:7">
      <c r="A65" s="7">
        <v>63</v>
      </c>
      <c r="B65" s="7" t="str">
        <f t="shared" si="5"/>
        <v>0110</v>
      </c>
      <c r="C65" s="7" t="s">
        <v>13</v>
      </c>
      <c r="D65" s="7" t="str">
        <f t="shared" si="6"/>
        <v>教师岗</v>
      </c>
      <c r="E65" s="7" t="str">
        <f>"金志宇"</f>
        <v>金志宇</v>
      </c>
      <c r="F65" s="7" t="s">
        <v>9</v>
      </c>
      <c r="G65" s="7"/>
    </row>
    <row r="66" ht="18" customHeight="1" spans="1:7">
      <c r="A66" s="7">
        <v>64</v>
      </c>
      <c r="B66" s="7" t="str">
        <f t="shared" si="5"/>
        <v>0110</v>
      </c>
      <c r="C66" s="7" t="s">
        <v>13</v>
      </c>
      <c r="D66" s="7" t="str">
        <f t="shared" si="6"/>
        <v>教师岗</v>
      </c>
      <c r="E66" s="7" t="str">
        <f>"李圆深"</f>
        <v>李圆深</v>
      </c>
      <c r="F66" s="7" t="s">
        <v>9</v>
      </c>
      <c r="G66" s="7"/>
    </row>
    <row r="67" ht="18" customHeight="1" spans="1:7">
      <c r="A67" s="7">
        <v>65</v>
      </c>
      <c r="B67" s="7" t="str">
        <f t="shared" ref="B67:B76" si="7">"0111"</f>
        <v>0111</v>
      </c>
      <c r="C67" s="7" t="s">
        <v>14</v>
      </c>
      <c r="D67" s="7" t="str">
        <f t="shared" si="6"/>
        <v>教师岗</v>
      </c>
      <c r="E67" s="7" t="str">
        <f>"王子禄"</f>
        <v>王子禄</v>
      </c>
      <c r="F67" s="7" t="s">
        <v>9</v>
      </c>
      <c r="G67" s="7"/>
    </row>
    <row r="68" ht="18" customHeight="1" spans="1:7">
      <c r="A68" s="7">
        <v>66</v>
      </c>
      <c r="B68" s="7" t="str">
        <f t="shared" si="7"/>
        <v>0111</v>
      </c>
      <c r="C68" s="7" t="s">
        <v>14</v>
      </c>
      <c r="D68" s="7" t="str">
        <f t="shared" si="6"/>
        <v>教师岗</v>
      </c>
      <c r="E68" s="7" t="str">
        <f>"杜昆"</f>
        <v>杜昆</v>
      </c>
      <c r="F68" s="7" t="s">
        <v>9</v>
      </c>
      <c r="G68" s="7"/>
    </row>
    <row r="69" ht="18" customHeight="1" spans="1:7">
      <c r="A69" s="7">
        <v>67</v>
      </c>
      <c r="B69" s="7" t="str">
        <f t="shared" si="7"/>
        <v>0111</v>
      </c>
      <c r="C69" s="7" t="s">
        <v>14</v>
      </c>
      <c r="D69" s="7" t="str">
        <f t="shared" si="6"/>
        <v>教师岗</v>
      </c>
      <c r="E69" s="7" t="str">
        <f>"田春"</f>
        <v>田春</v>
      </c>
      <c r="F69" s="7" t="s">
        <v>9</v>
      </c>
      <c r="G69" s="7"/>
    </row>
    <row r="70" ht="18" customHeight="1" spans="1:7">
      <c r="A70" s="7">
        <v>68</v>
      </c>
      <c r="B70" s="7" t="str">
        <f t="shared" si="7"/>
        <v>0111</v>
      </c>
      <c r="C70" s="7" t="s">
        <v>14</v>
      </c>
      <c r="D70" s="7" t="str">
        <f t="shared" si="6"/>
        <v>教师岗</v>
      </c>
      <c r="E70" s="7" t="str">
        <f>"张云飞"</f>
        <v>张云飞</v>
      </c>
      <c r="F70" s="7" t="s">
        <v>9</v>
      </c>
      <c r="G70" s="7"/>
    </row>
    <row r="71" ht="18" customHeight="1" spans="1:7">
      <c r="A71" s="7">
        <v>69</v>
      </c>
      <c r="B71" s="7" t="str">
        <f t="shared" si="7"/>
        <v>0111</v>
      </c>
      <c r="C71" s="7" t="s">
        <v>14</v>
      </c>
      <c r="D71" s="7" t="str">
        <f t="shared" si="6"/>
        <v>教师岗</v>
      </c>
      <c r="E71" s="7" t="str">
        <f>"李智"</f>
        <v>李智</v>
      </c>
      <c r="F71" s="7" t="s">
        <v>9</v>
      </c>
      <c r="G71" s="7"/>
    </row>
    <row r="72" ht="18" customHeight="1" spans="1:7">
      <c r="A72" s="7">
        <v>70</v>
      </c>
      <c r="B72" s="7" t="str">
        <f t="shared" si="7"/>
        <v>0111</v>
      </c>
      <c r="C72" s="7" t="s">
        <v>14</v>
      </c>
      <c r="D72" s="7" t="str">
        <f t="shared" si="6"/>
        <v>教师岗</v>
      </c>
      <c r="E72" s="7" t="str">
        <f>"周凌伟"</f>
        <v>周凌伟</v>
      </c>
      <c r="F72" s="7" t="s">
        <v>9</v>
      </c>
      <c r="G72" s="7"/>
    </row>
    <row r="73" ht="18" customHeight="1" spans="1:7">
      <c r="A73" s="7">
        <v>71</v>
      </c>
      <c r="B73" s="7" t="str">
        <f t="shared" si="7"/>
        <v>0111</v>
      </c>
      <c r="C73" s="7" t="s">
        <v>14</v>
      </c>
      <c r="D73" s="7" t="str">
        <f t="shared" si="6"/>
        <v>教师岗</v>
      </c>
      <c r="E73" s="7" t="str">
        <f>"张梦达"</f>
        <v>张梦达</v>
      </c>
      <c r="F73" s="7" t="s">
        <v>9</v>
      </c>
      <c r="G73" s="7"/>
    </row>
    <row r="74" ht="18" customHeight="1" spans="1:7">
      <c r="A74" s="7">
        <v>72</v>
      </c>
      <c r="B74" s="7" t="str">
        <f t="shared" si="7"/>
        <v>0111</v>
      </c>
      <c r="C74" s="7" t="s">
        <v>14</v>
      </c>
      <c r="D74" s="7" t="str">
        <f t="shared" si="6"/>
        <v>教师岗</v>
      </c>
      <c r="E74" s="7" t="str">
        <f>"徐庆波"</f>
        <v>徐庆波</v>
      </c>
      <c r="F74" s="7" t="s">
        <v>9</v>
      </c>
      <c r="G74" s="7"/>
    </row>
    <row r="75" ht="18" customHeight="1" spans="1:7">
      <c r="A75" s="7">
        <v>73</v>
      </c>
      <c r="B75" s="7" t="str">
        <f t="shared" si="7"/>
        <v>0111</v>
      </c>
      <c r="C75" s="7" t="s">
        <v>14</v>
      </c>
      <c r="D75" s="7" t="str">
        <f t="shared" si="6"/>
        <v>教师岗</v>
      </c>
      <c r="E75" s="7" t="str">
        <f>"相苏原"</f>
        <v>相苏原</v>
      </c>
      <c r="F75" s="7" t="s">
        <v>9</v>
      </c>
      <c r="G75" s="7"/>
    </row>
    <row r="76" ht="18" customHeight="1" spans="1:7">
      <c r="A76" s="7">
        <v>74</v>
      </c>
      <c r="B76" s="7" t="str">
        <f t="shared" si="7"/>
        <v>0111</v>
      </c>
      <c r="C76" s="7" t="s">
        <v>14</v>
      </c>
      <c r="D76" s="7" t="s">
        <v>15</v>
      </c>
      <c r="E76" s="7" t="str">
        <f>"杨明明"</f>
        <v>杨明明</v>
      </c>
      <c r="F76" s="7" t="s">
        <v>9</v>
      </c>
      <c r="G76" s="7"/>
    </row>
    <row r="77" ht="18" customHeight="1" spans="1:7">
      <c r="A77" s="7">
        <v>75</v>
      </c>
      <c r="B77" s="7" t="str">
        <f t="shared" ref="B77:B86" si="8">"0112"</f>
        <v>0112</v>
      </c>
      <c r="C77" s="7" t="s">
        <v>16</v>
      </c>
      <c r="D77" s="7" t="str">
        <f t="shared" ref="D77:D140" si="9">"教师岗"</f>
        <v>教师岗</v>
      </c>
      <c r="E77" s="7" t="str">
        <f>"张顺琦"</f>
        <v>张顺琦</v>
      </c>
      <c r="F77" s="7" t="s">
        <v>9</v>
      </c>
      <c r="G77" s="7"/>
    </row>
    <row r="78" ht="18" customHeight="1" spans="1:7">
      <c r="A78" s="7">
        <v>76</v>
      </c>
      <c r="B78" s="7" t="str">
        <f t="shared" si="8"/>
        <v>0112</v>
      </c>
      <c r="C78" s="7" t="s">
        <v>16</v>
      </c>
      <c r="D78" s="7" t="str">
        <f t="shared" si="9"/>
        <v>教师岗</v>
      </c>
      <c r="E78" s="7" t="str">
        <f>"陈明珠"</f>
        <v>陈明珠</v>
      </c>
      <c r="F78" s="7" t="s">
        <v>9</v>
      </c>
      <c r="G78" s="7"/>
    </row>
    <row r="79" ht="18" customHeight="1" spans="1:7">
      <c r="A79" s="7">
        <v>77</v>
      </c>
      <c r="B79" s="7" t="str">
        <f t="shared" si="8"/>
        <v>0112</v>
      </c>
      <c r="C79" s="7" t="s">
        <v>16</v>
      </c>
      <c r="D79" s="7" t="str">
        <f t="shared" si="9"/>
        <v>教师岗</v>
      </c>
      <c r="E79" s="7" t="str">
        <f>"巩曼曼"</f>
        <v>巩曼曼</v>
      </c>
      <c r="F79" s="7" t="s">
        <v>9</v>
      </c>
      <c r="G79" s="7"/>
    </row>
    <row r="80" ht="18" customHeight="1" spans="1:7">
      <c r="A80" s="7">
        <v>78</v>
      </c>
      <c r="B80" s="7" t="str">
        <f t="shared" si="8"/>
        <v>0112</v>
      </c>
      <c r="C80" s="7" t="s">
        <v>16</v>
      </c>
      <c r="D80" s="7" t="str">
        <f t="shared" si="9"/>
        <v>教师岗</v>
      </c>
      <c r="E80" s="7" t="str">
        <f>"栗凡"</f>
        <v>栗凡</v>
      </c>
      <c r="F80" s="7" t="s">
        <v>9</v>
      </c>
      <c r="G80" s="7"/>
    </row>
    <row r="81" ht="18" customHeight="1" spans="1:7">
      <c r="A81" s="7">
        <v>79</v>
      </c>
      <c r="B81" s="7" t="str">
        <f t="shared" si="8"/>
        <v>0112</v>
      </c>
      <c r="C81" s="7" t="s">
        <v>16</v>
      </c>
      <c r="D81" s="7" t="str">
        <f t="shared" si="9"/>
        <v>教师岗</v>
      </c>
      <c r="E81" s="7" t="str">
        <f>"王文文"</f>
        <v>王文文</v>
      </c>
      <c r="F81" s="7" t="s">
        <v>9</v>
      </c>
      <c r="G81" s="7"/>
    </row>
    <row r="82" ht="18" customHeight="1" spans="1:7">
      <c r="A82" s="7">
        <v>80</v>
      </c>
      <c r="B82" s="7" t="str">
        <f t="shared" si="8"/>
        <v>0112</v>
      </c>
      <c r="C82" s="7" t="s">
        <v>16</v>
      </c>
      <c r="D82" s="7" t="str">
        <f t="shared" si="9"/>
        <v>教师岗</v>
      </c>
      <c r="E82" s="7" t="str">
        <f>"符妹"</f>
        <v>符妹</v>
      </c>
      <c r="F82" s="7" t="s">
        <v>9</v>
      </c>
      <c r="G82" s="7"/>
    </row>
    <row r="83" ht="18" customHeight="1" spans="1:7">
      <c r="A83" s="7">
        <v>81</v>
      </c>
      <c r="B83" s="7" t="str">
        <f t="shared" si="8"/>
        <v>0112</v>
      </c>
      <c r="C83" s="7" t="s">
        <v>16</v>
      </c>
      <c r="D83" s="7" t="str">
        <f t="shared" si="9"/>
        <v>教师岗</v>
      </c>
      <c r="E83" s="7" t="str">
        <f>"孙茹宇"</f>
        <v>孙茹宇</v>
      </c>
      <c r="F83" s="7" t="s">
        <v>9</v>
      </c>
      <c r="G83" s="7"/>
    </row>
    <row r="84" ht="18" customHeight="1" spans="1:7">
      <c r="A84" s="7">
        <v>82</v>
      </c>
      <c r="B84" s="7" t="str">
        <f t="shared" si="8"/>
        <v>0112</v>
      </c>
      <c r="C84" s="7" t="s">
        <v>16</v>
      </c>
      <c r="D84" s="7" t="str">
        <f t="shared" si="9"/>
        <v>教师岗</v>
      </c>
      <c r="E84" s="7" t="str">
        <f>"郑宏斌"</f>
        <v>郑宏斌</v>
      </c>
      <c r="F84" s="7" t="s">
        <v>9</v>
      </c>
      <c r="G84" s="7"/>
    </row>
    <row r="85" ht="18" customHeight="1" spans="1:7">
      <c r="A85" s="7">
        <v>83</v>
      </c>
      <c r="B85" s="7" t="str">
        <f t="shared" si="8"/>
        <v>0112</v>
      </c>
      <c r="C85" s="7" t="s">
        <v>16</v>
      </c>
      <c r="D85" s="7" t="str">
        <f t="shared" si="9"/>
        <v>教师岗</v>
      </c>
      <c r="E85" s="7" t="str">
        <f>"姚衡"</f>
        <v>姚衡</v>
      </c>
      <c r="F85" s="7" t="s">
        <v>9</v>
      </c>
      <c r="G85" s="7"/>
    </row>
    <row r="86" ht="18" customHeight="1" spans="1:7">
      <c r="A86" s="7">
        <v>84</v>
      </c>
      <c r="B86" s="7" t="str">
        <f t="shared" si="8"/>
        <v>0112</v>
      </c>
      <c r="C86" s="7" t="s">
        <v>16</v>
      </c>
      <c r="D86" s="7" t="str">
        <f t="shared" si="9"/>
        <v>教师岗</v>
      </c>
      <c r="E86" s="7" t="str">
        <f>"李微"</f>
        <v>李微</v>
      </c>
      <c r="F86" s="7" t="s">
        <v>9</v>
      </c>
      <c r="G86" s="7"/>
    </row>
    <row r="87" ht="18" customHeight="1" spans="1:7">
      <c r="A87" s="7">
        <v>85</v>
      </c>
      <c r="B87" s="7" t="str">
        <f t="shared" ref="B87:B105" si="10">"0113"</f>
        <v>0113</v>
      </c>
      <c r="C87" s="7" t="s">
        <v>17</v>
      </c>
      <c r="D87" s="7" t="str">
        <f t="shared" si="9"/>
        <v>教师岗</v>
      </c>
      <c r="E87" s="7" t="str">
        <f>"荆天宇"</f>
        <v>荆天宇</v>
      </c>
      <c r="F87" s="7" t="s">
        <v>9</v>
      </c>
      <c r="G87" s="7"/>
    </row>
    <row r="88" ht="18" customHeight="1" spans="1:7">
      <c r="A88" s="7">
        <v>86</v>
      </c>
      <c r="B88" s="7" t="str">
        <f t="shared" si="10"/>
        <v>0113</v>
      </c>
      <c r="C88" s="7" t="s">
        <v>17</v>
      </c>
      <c r="D88" s="7" t="str">
        <f t="shared" si="9"/>
        <v>教师岗</v>
      </c>
      <c r="E88" s="7" t="str">
        <f>"冯越"</f>
        <v>冯越</v>
      </c>
      <c r="F88" s="7" t="s">
        <v>9</v>
      </c>
      <c r="G88" s="7"/>
    </row>
    <row r="89" ht="18" customHeight="1" spans="1:7">
      <c r="A89" s="7">
        <v>87</v>
      </c>
      <c r="B89" s="7" t="str">
        <f t="shared" si="10"/>
        <v>0113</v>
      </c>
      <c r="C89" s="7" t="s">
        <v>17</v>
      </c>
      <c r="D89" s="7" t="str">
        <f t="shared" si="9"/>
        <v>教师岗</v>
      </c>
      <c r="E89" s="7" t="str">
        <f>"蒋珍珍"</f>
        <v>蒋珍珍</v>
      </c>
      <c r="F89" s="7" t="s">
        <v>9</v>
      </c>
      <c r="G89" s="7"/>
    </row>
    <row r="90" ht="18" customHeight="1" spans="1:7">
      <c r="A90" s="7">
        <v>88</v>
      </c>
      <c r="B90" s="7" t="str">
        <f t="shared" si="10"/>
        <v>0113</v>
      </c>
      <c r="C90" s="7" t="s">
        <v>17</v>
      </c>
      <c r="D90" s="7" t="str">
        <f t="shared" si="9"/>
        <v>教师岗</v>
      </c>
      <c r="E90" s="7" t="str">
        <f>"宋紫纯"</f>
        <v>宋紫纯</v>
      </c>
      <c r="F90" s="7" t="s">
        <v>9</v>
      </c>
      <c r="G90" s="7"/>
    </row>
    <row r="91" ht="18" customHeight="1" spans="1:7">
      <c r="A91" s="7">
        <v>89</v>
      </c>
      <c r="B91" s="7" t="str">
        <f t="shared" si="10"/>
        <v>0113</v>
      </c>
      <c r="C91" s="7" t="s">
        <v>17</v>
      </c>
      <c r="D91" s="7" t="str">
        <f t="shared" si="9"/>
        <v>教师岗</v>
      </c>
      <c r="E91" s="7" t="str">
        <f>"牛慧"</f>
        <v>牛慧</v>
      </c>
      <c r="F91" s="7" t="s">
        <v>9</v>
      </c>
      <c r="G91" s="7"/>
    </row>
    <row r="92" ht="18" customHeight="1" spans="1:7">
      <c r="A92" s="7">
        <v>90</v>
      </c>
      <c r="B92" s="7" t="str">
        <f t="shared" si="10"/>
        <v>0113</v>
      </c>
      <c r="C92" s="7" t="s">
        <v>17</v>
      </c>
      <c r="D92" s="7" t="str">
        <f t="shared" si="9"/>
        <v>教师岗</v>
      </c>
      <c r="E92" s="7" t="str">
        <f>"周丹丽"</f>
        <v>周丹丽</v>
      </c>
      <c r="F92" s="7" t="s">
        <v>9</v>
      </c>
      <c r="G92" s="7"/>
    </row>
    <row r="93" ht="18" customHeight="1" spans="1:7">
      <c r="A93" s="7">
        <v>91</v>
      </c>
      <c r="B93" s="7" t="str">
        <f t="shared" si="10"/>
        <v>0113</v>
      </c>
      <c r="C93" s="7" t="s">
        <v>17</v>
      </c>
      <c r="D93" s="7" t="str">
        <f t="shared" si="9"/>
        <v>教师岗</v>
      </c>
      <c r="E93" s="7" t="str">
        <f>"李肖璇"</f>
        <v>李肖璇</v>
      </c>
      <c r="F93" s="7" t="s">
        <v>9</v>
      </c>
      <c r="G93" s="7"/>
    </row>
    <row r="94" ht="18" customHeight="1" spans="1:7">
      <c r="A94" s="7">
        <v>92</v>
      </c>
      <c r="B94" s="7" t="str">
        <f t="shared" si="10"/>
        <v>0113</v>
      </c>
      <c r="C94" s="7" t="s">
        <v>17</v>
      </c>
      <c r="D94" s="7" t="str">
        <f t="shared" si="9"/>
        <v>教师岗</v>
      </c>
      <c r="E94" s="7" t="str">
        <f>"李盈"</f>
        <v>李盈</v>
      </c>
      <c r="F94" s="7" t="s">
        <v>9</v>
      </c>
      <c r="G94" s="7"/>
    </row>
    <row r="95" ht="18" customHeight="1" spans="1:7">
      <c r="A95" s="7">
        <v>93</v>
      </c>
      <c r="B95" s="7" t="str">
        <f t="shared" si="10"/>
        <v>0113</v>
      </c>
      <c r="C95" s="7" t="s">
        <v>17</v>
      </c>
      <c r="D95" s="7" t="str">
        <f t="shared" si="9"/>
        <v>教师岗</v>
      </c>
      <c r="E95" s="7" t="str">
        <f>"严舜君"</f>
        <v>严舜君</v>
      </c>
      <c r="F95" s="7" t="s">
        <v>9</v>
      </c>
      <c r="G95" s="7"/>
    </row>
    <row r="96" ht="18" customHeight="1" spans="1:7">
      <c r="A96" s="7">
        <v>94</v>
      </c>
      <c r="B96" s="7" t="str">
        <f t="shared" si="10"/>
        <v>0113</v>
      </c>
      <c r="C96" s="7" t="s">
        <v>17</v>
      </c>
      <c r="D96" s="7" t="str">
        <f t="shared" si="9"/>
        <v>教师岗</v>
      </c>
      <c r="E96" s="7" t="str">
        <f>"罗兰"</f>
        <v>罗兰</v>
      </c>
      <c r="F96" s="7" t="s">
        <v>9</v>
      </c>
      <c r="G96" s="7"/>
    </row>
    <row r="97" ht="18" customHeight="1" spans="1:7">
      <c r="A97" s="7">
        <v>95</v>
      </c>
      <c r="B97" s="7" t="str">
        <f t="shared" si="10"/>
        <v>0113</v>
      </c>
      <c r="C97" s="7" t="s">
        <v>17</v>
      </c>
      <c r="D97" s="7" t="str">
        <f t="shared" si="9"/>
        <v>教师岗</v>
      </c>
      <c r="E97" s="7" t="str">
        <f>"乔宁"</f>
        <v>乔宁</v>
      </c>
      <c r="F97" s="7" t="s">
        <v>9</v>
      </c>
      <c r="G97" s="7"/>
    </row>
    <row r="98" ht="18" customHeight="1" spans="1:7">
      <c r="A98" s="7">
        <v>96</v>
      </c>
      <c r="B98" s="7" t="str">
        <f t="shared" si="10"/>
        <v>0113</v>
      </c>
      <c r="C98" s="7" t="s">
        <v>17</v>
      </c>
      <c r="D98" s="7" t="str">
        <f t="shared" si="9"/>
        <v>教师岗</v>
      </c>
      <c r="E98" s="7" t="str">
        <f>"王盼盼"</f>
        <v>王盼盼</v>
      </c>
      <c r="F98" s="7" t="s">
        <v>9</v>
      </c>
      <c r="G98" s="7"/>
    </row>
    <row r="99" ht="18" customHeight="1" spans="1:7">
      <c r="A99" s="7">
        <v>97</v>
      </c>
      <c r="B99" s="7" t="str">
        <f t="shared" si="10"/>
        <v>0113</v>
      </c>
      <c r="C99" s="7" t="s">
        <v>17</v>
      </c>
      <c r="D99" s="7" t="str">
        <f t="shared" si="9"/>
        <v>教师岗</v>
      </c>
      <c r="E99" s="7" t="str">
        <f>"康春宜"</f>
        <v>康春宜</v>
      </c>
      <c r="F99" s="7" t="s">
        <v>9</v>
      </c>
      <c r="G99" s="7"/>
    </row>
    <row r="100" ht="18" customHeight="1" spans="1:7">
      <c r="A100" s="7">
        <v>98</v>
      </c>
      <c r="B100" s="7" t="str">
        <f t="shared" si="10"/>
        <v>0113</v>
      </c>
      <c r="C100" s="7" t="s">
        <v>17</v>
      </c>
      <c r="D100" s="7" t="str">
        <f t="shared" si="9"/>
        <v>教师岗</v>
      </c>
      <c r="E100" s="7" t="str">
        <f>"殷孟霞"</f>
        <v>殷孟霞</v>
      </c>
      <c r="F100" s="7" t="s">
        <v>9</v>
      </c>
      <c r="G100" s="7"/>
    </row>
    <row r="101" ht="18" customHeight="1" spans="1:7">
      <c r="A101" s="7">
        <v>99</v>
      </c>
      <c r="B101" s="7" t="str">
        <f t="shared" si="10"/>
        <v>0113</v>
      </c>
      <c r="C101" s="7" t="s">
        <v>17</v>
      </c>
      <c r="D101" s="7" t="str">
        <f t="shared" si="9"/>
        <v>教师岗</v>
      </c>
      <c r="E101" s="7" t="str">
        <f>"卜晓宇"</f>
        <v>卜晓宇</v>
      </c>
      <c r="F101" s="7" t="s">
        <v>9</v>
      </c>
      <c r="G101" s="7"/>
    </row>
    <row r="102" ht="18" customHeight="1" spans="1:7">
      <c r="A102" s="7">
        <v>100</v>
      </c>
      <c r="B102" s="7" t="str">
        <f t="shared" si="10"/>
        <v>0113</v>
      </c>
      <c r="C102" s="7" t="s">
        <v>17</v>
      </c>
      <c r="D102" s="7" t="str">
        <f t="shared" si="9"/>
        <v>教师岗</v>
      </c>
      <c r="E102" s="7" t="str">
        <f>"魏京津"</f>
        <v>魏京津</v>
      </c>
      <c r="F102" s="7" t="s">
        <v>9</v>
      </c>
      <c r="G102" s="7"/>
    </row>
    <row r="103" ht="18" customHeight="1" spans="1:7">
      <c r="A103" s="7">
        <v>101</v>
      </c>
      <c r="B103" s="7" t="str">
        <f t="shared" si="10"/>
        <v>0113</v>
      </c>
      <c r="C103" s="7" t="s">
        <v>17</v>
      </c>
      <c r="D103" s="7" t="str">
        <f t="shared" si="9"/>
        <v>教师岗</v>
      </c>
      <c r="E103" s="7" t="str">
        <f>"闫靖"</f>
        <v>闫靖</v>
      </c>
      <c r="F103" s="7" t="s">
        <v>9</v>
      </c>
      <c r="G103" s="7"/>
    </row>
    <row r="104" ht="18" customHeight="1" spans="1:7">
      <c r="A104" s="7">
        <v>102</v>
      </c>
      <c r="B104" s="7" t="str">
        <f t="shared" si="10"/>
        <v>0113</v>
      </c>
      <c r="C104" s="7" t="s">
        <v>17</v>
      </c>
      <c r="D104" s="7" t="str">
        <f t="shared" si="9"/>
        <v>教师岗</v>
      </c>
      <c r="E104" s="7" t="str">
        <f>"胡亚军"</f>
        <v>胡亚军</v>
      </c>
      <c r="F104" s="7" t="s">
        <v>9</v>
      </c>
      <c r="G104" s="7"/>
    </row>
    <row r="105" ht="18" customHeight="1" spans="1:7">
      <c r="A105" s="7">
        <v>103</v>
      </c>
      <c r="B105" s="7" t="str">
        <f t="shared" si="10"/>
        <v>0113</v>
      </c>
      <c r="C105" s="7" t="s">
        <v>17</v>
      </c>
      <c r="D105" s="7" t="str">
        <f t="shared" si="9"/>
        <v>教师岗</v>
      </c>
      <c r="E105" s="7" t="str">
        <f>"郑师懿"</f>
        <v>郑师懿</v>
      </c>
      <c r="F105" s="7" t="s">
        <v>9</v>
      </c>
      <c r="G105" s="7"/>
    </row>
    <row r="106" ht="18" customHeight="1" spans="1:7">
      <c r="A106" s="7">
        <v>104</v>
      </c>
      <c r="B106" s="7" t="str">
        <f t="shared" ref="B106:B116" si="11">"0114"</f>
        <v>0114</v>
      </c>
      <c r="C106" s="7" t="s">
        <v>18</v>
      </c>
      <c r="D106" s="7" t="str">
        <f t="shared" si="9"/>
        <v>教师岗</v>
      </c>
      <c r="E106" s="7" t="str">
        <f>"石小龙"</f>
        <v>石小龙</v>
      </c>
      <c r="F106" s="7" t="s">
        <v>9</v>
      </c>
      <c r="G106" s="7"/>
    </row>
    <row r="107" ht="18" customHeight="1" spans="1:7">
      <c r="A107" s="7">
        <v>105</v>
      </c>
      <c r="B107" s="7" t="str">
        <f t="shared" si="11"/>
        <v>0114</v>
      </c>
      <c r="C107" s="7" t="s">
        <v>18</v>
      </c>
      <c r="D107" s="7" t="str">
        <f t="shared" si="9"/>
        <v>教师岗</v>
      </c>
      <c r="E107" s="7" t="str">
        <f>"李贤书"</f>
        <v>李贤书</v>
      </c>
      <c r="F107" s="7" t="s">
        <v>9</v>
      </c>
      <c r="G107" s="7"/>
    </row>
    <row r="108" ht="18" customHeight="1" spans="1:7">
      <c r="A108" s="7">
        <v>106</v>
      </c>
      <c r="B108" s="7" t="str">
        <f t="shared" si="11"/>
        <v>0114</v>
      </c>
      <c r="C108" s="7" t="s">
        <v>18</v>
      </c>
      <c r="D108" s="7" t="str">
        <f t="shared" si="9"/>
        <v>教师岗</v>
      </c>
      <c r="E108" s="7" t="str">
        <f>"麦丹娆"</f>
        <v>麦丹娆</v>
      </c>
      <c r="F108" s="7" t="s">
        <v>9</v>
      </c>
      <c r="G108" s="7"/>
    </row>
    <row r="109" ht="18" customHeight="1" spans="1:7">
      <c r="A109" s="7">
        <v>107</v>
      </c>
      <c r="B109" s="7" t="str">
        <f t="shared" si="11"/>
        <v>0114</v>
      </c>
      <c r="C109" s="7" t="s">
        <v>18</v>
      </c>
      <c r="D109" s="7" t="str">
        <f t="shared" si="9"/>
        <v>教师岗</v>
      </c>
      <c r="E109" s="7" t="str">
        <f>"刘圆芳"</f>
        <v>刘圆芳</v>
      </c>
      <c r="F109" s="7" t="s">
        <v>9</v>
      </c>
      <c r="G109" s="7"/>
    </row>
    <row r="110" ht="18" customHeight="1" spans="1:7">
      <c r="A110" s="7">
        <v>108</v>
      </c>
      <c r="B110" s="7" t="str">
        <f t="shared" si="11"/>
        <v>0114</v>
      </c>
      <c r="C110" s="7" t="s">
        <v>18</v>
      </c>
      <c r="D110" s="7" t="str">
        <f t="shared" si="9"/>
        <v>教师岗</v>
      </c>
      <c r="E110" s="7" t="str">
        <f>"叶婷"</f>
        <v>叶婷</v>
      </c>
      <c r="F110" s="7" t="s">
        <v>9</v>
      </c>
      <c r="G110" s="7"/>
    </row>
    <row r="111" ht="18" customHeight="1" spans="1:7">
      <c r="A111" s="7">
        <v>109</v>
      </c>
      <c r="B111" s="7" t="str">
        <f t="shared" si="11"/>
        <v>0114</v>
      </c>
      <c r="C111" s="7" t="s">
        <v>18</v>
      </c>
      <c r="D111" s="7" t="str">
        <f t="shared" si="9"/>
        <v>教师岗</v>
      </c>
      <c r="E111" s="7" t="str">
        <f>"梁宵"</f>
        <v>梁宵</v>
      </c>
      <c r="F111" s="7" t="s">
        <v>9</v>
      </c>
      <c r="G111" s="7"/>
    </row>
    <row r="112" ht="18" customHeight="1" spans="1:7">
      <c r="A112" s="7">
        <v>110</v>
      </c>
      <c r="B112" s="7" t="str">
        <f t="shared" si="11"/>
        <v>0114</v>
      </c>
      <c r="C112" s="7" t="s">
        <v>18</v>
      </c>
      <c r="D112" s="7" t="str">
        <f t="shared" si="9"/>
        <v>教师岗</v>
      </c>
      <c r="E112" s="9" t="str">
        <f>"林鑫"</f>
        <v>林鑫</v>
      </c>
      <c r="F112" s="7" t="s">
        <v>9</v>
      </c>
      <c r="G112" s="7" t="str">
        <f>"063979"</f>
        <v>063979</v>
      </c>
    </row>
    <row r="113" ht="18" customHeight="1" spans="1:7">
      <c r="A113" s="7">
        <v>111</v>
      </c>
      <c r="B113" s="7" t="str">
        <f t="shared" si="11"/>
        <v>0114</v>
      </c>
      <c r="C113" s="7" t="s">
        <v>18</v>
      </c>
      <c r="D113" s="7" t="str">
        <f t="shared" si="9"/>
        <v>教师岗</v>
      </c>
      <c r="E113" s="7" t="str">
        <f>"郭思源"</f>
        <v>郭思源</v>
      </c>
      <c r="F113" s="7" t="s">
        <v>9</v>
      </c>
      <c r="G113" s="7"/>
    </row>
    <row r="114" ht="18" customHeight="1" spans="1:7">
      <c r="A114" s="7">
        <v>112</v>
      </c>
      <c r="B114" s="7" t="str">
        <f t="shared" si="11"/>
        <v>0114</v>
      </c>
      <c r="C114" s="7" t="s">
        <v>18</v>
      </c>
      <c r="D114" s="7" t="str">
        <f t="shared" si="9"/>
        <v>教师岗</v>
      </c>
      <c r="E114" s="7" t="str">
        <f>"王娇芬"</f>
        <v>王娇芬</v>
      </c>
      <c r="F114" s="7" t="s">
        <v>9</v>
      </c>
      <c r="G114" s="7"/>
    </row>
    <row r="115" ht="18" customHeight="1" spans="1:7">
      <c r="A115" s="7">
        <v>113</v>
      </c>
      <c r="B115" s="7" t="str">
        <f t="shared" si="11"/>
        <v>0114</v>
      </c>
      <c r="C115" s="7" t="s">
        <v>18</v>
      </c>
      <c r="D115" s="7" t="str">
        <f t="shared" si="9"/>
        <v>教师岗</v>
      </c>
      <c r="E115" s="7" t="str">
        <f>"孙清元"</f>
        <v>孙清元</v>
      </c>
      <c r="F115" s="7" t="s">
        <v>9</v>
      </c>
      <c r="G115" s="7"/>
    </row>
    <row r="116" ht="18" customHeight="1" spans="1:7">
      <c r="A116" s="7">
        <v>114</v>
      </c>
      <c r="B116" s="7" t="str">
        <f t="shared" si="11"/>
        <v>0114</v>
      </c>
      <c r="C116" s="7" t="s">
        <v>18</v>
      </c>
      <c r="D116" s="7" t="str">
        <f t="shared" si="9"/>
        <v>教师岗</v>
      </c>
      <c r="E116" s="7" t="str">
        <f>"曹润婷"</f>
        <v>曹润婷</v>
      </c>
      <c r="F116" s="7" t="s">
        <v>9</v>
      </c>
      <c r="G116" s="7"/>
    </row>
    <row r="117" ht="18" customHeight="1" spans="1:7">
      <c r="A117" s="7">
        <v>115</v>
      </c>
      <c r="B117" s="7" t="str">
        <f t="shared" ref="B117:B142" si="12">"0115"</f>
        <v>0115</v>
      </c>
      <c r="C117" s="7" t="s">
        <v>19</v>
      </c>
      <c r="D117" s="7" t="str">
        <f t="shared" si="9"/>
        <v>教师岗</v>
      </c>
      <c r="E117" s="7" t="str">
        <f>"刘媛媛"</f>
        <v>刘媛媛</v>
      </c>
      <c r="F117" s="7" t="s">
        <v>9</v>
      </c>
      <c r="G117" s="7"/>
    </row>
    <row r="118" ht="18" customHeight="1" spans="1:7">
      <c r="A118" s="7">
        <v>116</v>
      </c>
      <c r="B118" s="7" t="str">
        <f t="shared" si="12"/>
        <v>0115</v>
      </c>
      <c r="C118" s="7" t="s">
        <v>19</v>
      </c>
      <c r="D118" s="7" t="str">
        <f t="shared" si="9"/>
        <v>教师岗</v>
      </c>
      <c r="E118" s="7" t="str">
        <f>"梁颖"</f>
        <v>梁颖</v>
      </c>
      <c r="F118" s="7" t="s">
        <v>9</v>
      </c>
      <c r="G118" s="7"/>
    </row>
    <row r="119" ht="18" customHeight="1" spans="1:7">
      <c r="A119" s="7">
        <v>117</v>
      </c>
      <c r="B119" s="7" t="str">
        <f t="shared" si="12"/>
        <v>0115</v>
      </c>
      <c r="C119" s="7" t="s">
        <v>19</v>
      </c>
      <c r="D119" s="7" t="str">
        <f t="shared" si="9"/>
        <v>教师岗</v>
      </c>
      <c r="E119" s="7" t="str">
        <f>"杨伊涵"</f>
        <v>杨伊涵</v>
      </c>
      <c r="F119" s="7" t="s">
        <v>9</v>
      </c>
      <c r="G119" s="7"/>
    </row>
    <row r="120" ht="18" customHeight="1" spans="1:7">
      <c r="A120" s="7">
        <v>118</v>
      </c>
      <c r="B120" s="7" t="str">
        <f t="shared" si="12"/>
        <v>0115</v>
      </c>
      <c r="C120" s="7" t="s">
        <v>19</v>
      </c>
      <c r="D120" s="7" t="str">
        <f t="shared" si="9"/>
        <v>教师岗</v>
      </c>
      <c r="E120" s="7" t="str">
        <f>"赵世瑾"</f>
        <v>赵世瑾</v>
      </c>
      <c r="F120" s="7" t="s">
        <v>9</v>
      </c>
      <c r="G120" s="7"/>
    </row>
    <row r="121" ht="18" customHeight="1" spans="1:7">
      <c r="A121" s="7">
        <v>119</v>
      </c>
      <c r="B121" s="7" t="str">
        <f t="shared" si="12"/>
        <v>0115</v>
      </c>
      <c r="C121" s="7" t="s">
        <v>19</v>
      </c>
      <c r="D121" s="7" t="str">
        <f t="shared" si="9"/>
        <v>教师岗</v>
      </c>
      <c r="E121" s="7" t="str">
        <f>"常亚茹"</f>
        <v>常亚茹</v>
      </c>
      <c r="F121" s="7" t="s">
        <v>9</v>
      </c>
      <c r="G121" s="7"/>
    </row>
    <row r="122" ht="18" customHeight="1" spans="1:7">
      <c r="A122" s="7">
        <v>120</v>
      </c>
      <c r="B122" s="7" t="str">
        <f t="shared" si="12"/>
        <v>0115</v>
      </c>
      <c r="C122" s="7" t="s">
        <v>19</v>
      </c>
      <c r="D122" s="7" t="str">
        <f t="shared" si="9"/>
        <v>教师岗</v>
      </c>
      <c r="E122" s="7" t="str">
        <f>"程晓梅"</f>
        <v>程晓梅</v>
      </c>
      <c r="F122" s="7" t="s">
        <v>9</v>
      </c>
      <c r="G122" s="7"/>
    </row>
    <row r="123" ht="18" customHeight="1" spans="1:7">
      <c r="A123" s="7">
        <v>121</v>
      </c>
      <c r="B123" s="7" t="str">
        <f t="shared" si="12"/>
        <v>0115</v>
      </c>
      <c r="C123" s="7" t="s">
        <v>19</v>
      </c>
      <c r="D123" s="7" t="str">
        <f t="shared" si="9"/>
        <v>教师岗</v>
      </c>
      <c r="E123" s="9" t="str">
        <f>"张鑫"</f>
        <v>张鑫</v>
      </c>
      <c r="F123" s="7" t="s">
        <v>9</v>
      </c>
      <c r="G123" s="7" t="str">
        <f>"310030"</f>
        <v>310030</v>
      </c>
    </row>
    <row r="124" ht="18" customHeight="1" spans="1:7">
      <c r="A124" s="7">
        <v>122</v>
      </c>
      <c r="B124" s="7" t="str">
        <f t="shared" si="12"/>
        <v>0115</v>
      </c>
      <c r="C124" s="7" t="s">
        <v>19</v>
      </c>
      <c r="D124" s="7" t="str">
        <f t="shared" si="9"/>
        <v>教师岗</v>
      </c>
      <c r="E124" s="7" t="str">
        <f>"王嘉政"</f>
        <v>王嘉政</v>
      </c>
      <c r="F124" s="7" t="s">
        <v>9</v>
      </c>
      <c r="G124" s="7"/>
    </row>
    <row r="125" ht="18" customHeight="1" spans="1:7">
      <c r="A125" s="7">
        <v>123</v>
      </c>
      <c r="B125" s="7" t="str">
        <f t="shared" si="12"/>
        <v>0115</v>
      </c>
      <c r="C125" s="7" t="s">
        <v>19</v>
      </c>
      <c r="D125" s="7" t="str">
        <f t="shared" si="9"/>
        <v>教师岗</v>
      </c>
      <c r="E125" s="7" t="str">
        <f>"曾迟"</f>
        <v>曾迟</v>
      </c>
      <c r="F125" s="7" t="s">
        <v>9</v>
      </c>
      <c r="G125" s="7"/>
    </row>
    <row r="126" ht="18" customHeight="1" spans="1:7">
      <c r="A126" s="7">
        <v>124</v>
      </c>
      <c r="B126" s="7" t="str">
        <f t="shared" si="12"/>
        <v>0115</v>
      </c>
      <c r="C126" s="7" t="s">
        <v>19</v>
      </c>
      <c r="D126" s="7" t="str">
        <f t="shared" si="9"/>
        <v>教师岗</v>
      </c>
      <c r="E126" s="7" t="str">
        <f>"颜婧娴"</f>
        <v>颜婧娴</v>
      </c>
      <c r="F126" s="7" t="s">
        <v>9</v>
      </c>
      <c r="G126" s="7"/>
    </row>
    <row r="127" ht="18" customHeight="1" spans="1:7">
      <c r="A127" s="7">
        <v>125</v>
      </c>
      <c r="B127" s="7" t="str">
        <f t="shared" si="12"/>
        <v>0115</v>
      </c>
      <c r="C127" s="7" t="s">
        <v>19</v>
      </c>
      <c r="D127" s="7" t="str">
        <f t="shared" si="9"/>
        <v>教师岗</v>
      </c>
      <c r="E127" s="7" t="str">
        <f>"罗淑琳"</f>
        <v>罗淑琳</v>
      </c>
      <c r="F127" s="7" t="s">
        <v>9</v>
      </c>
      <c r="G127" s="7"/>
    </row>
    <row r="128" ht="18" customHeight="1" spans="1:7">
      <c r="A128" s="7">
        <v>126</v>
      </c>
      <c r="B128" s="7" t="str">
        <f t="shared" si="12"/>
        <v>0115</v>
      </c>
      <c r="C128" s="7" t="s">
        <v>19</v>
      </c>
      <c r="D128" s="7" t="str">
        <f t="shared" si="9"/>
        <v>教师岗</v>
      </c>
      <c r="E128" s="7" t="str">
        <f>"王苹"</f>
        <v>王苹</v>
      </c>
      <c r="F128" s="7" t="s">
        <v>9</v>
      </c>
      <c r="G128" s="7"/>
    </row>
    <row r="129" ht="18" customHeight="1" spans="1:7">
      <c r="A129" s="7">
        <v>127</v>
      </c>
      <c r="B129" s="7" t="str">
        <f t="shared" si="12"/>
        <v>0115</v>
      </c>
      <c r="C129" s="7" t="s">
        <v>19</v>
      </c>
      <c r="D129" s="7" t="str">
        <f t="shared" si="9"/>
        <v>教师岗</v>
      </c>
      <c r="E129" s="7" t="str">
        <f>"戴子南"</f>
        <v>戴子南</v>
      </c>
      <c r="F129" s="7" t="s">
        <v>9</v>
      </c>
      <c r="G129" s="7"/>
    </row>
    <row r="130" ht="18" customHeight="1" spans="1:7">
      <c r="A130" s="7">
        <v>128</v>
      </c>
      <c r="B130" s="7" t="str">
        <f t="shared" si="12"/>
        <v>0115</v>
      </c>
      <c r="C130" s="7" t="s">
        <v>19</v>
      </c>
      <c r="D130" s="7" t="str">
        <f t="shared" si="9"/>
        <v>教师岗</v>
      </c>
      <c r="E130" s="7" t="str">
        <f>"刘茹霞"</f>
        <v>刘茹霞</v>
      </c>
      <c r="F130" s="7" t="s">
        <v>9</v>
      </c>
      <c r="G130" s="7"/>
    </row>
    <row r="131" ht="18" customHeight="1" spans="1:7">
      <c r="A131" s="7">
        <v>129</v>
      </c>
      <c r="B131" s="7" t="str">
        <f t="shared" si="12"/>
        <v>0115</v>
      </c>
      <c r="C131" s="7" t="s">
        <v>19</v>
      </c>
      <c r="D131" s="7" t="str">
        <f t="shared" si="9"/>
        <v>教师岗</v>
      </c>
      <c r="E131" s="7" t="str">
        <f>"蒋茜"</f>
        <v>蒋茜</v>
      </c>
      <c r="F131" s="7" t="s">
        <v>9</v>
      </c>
      <c r="G131" s="7"/>
    </row>
    <row r="132" ht="18" customHeight="1" spans="1:7">
      <c r="A132" s="7">
        <v>130</v>
      </c>
      <c r="B132" s="7" t="str">
        <f t="shared" si="12"/>
        <v>0115</v>
      </c>
      <c r="C132" s="7" t="s">
        <v>19</v>
      </c>
      <c r="D132" s="7" t="str">
        <f t="shared" si="9"/>
        <v>教师岗</v>
      </c>
      <c r="E132" s="7" t="str">
        <f>"夏雨萱"</f>
        <v>夏雨萱</v>
      </c>
      <c r="F132" s="7" t="s">
        <v>9</v>
      </c>
      <c r="G132" s="7"/>
    </row>
    <row r="133" ht="18" customHeight="1" spans="1:7">
      <c r="A133" s="7">
        <v>131</v>
      </c>
      <c r="B133" s="7" t="str">
        <f t="shared" si="12"/>
        <v>0115</v>
      </c>
      <c r="C133" s="7" t="s">
        <v>19</v>
      </c>
      <c r="D133" s="7" t="str">
        <f t="shared" si="9"/>
        <v>教师岗</v>
      </c>
      <c r="E133" s="7" t="str">
        <f>"陈晓榆"</f>
        <v>陈晓榆</v>
      </c>
      <c r="F133" s="7" t="s">
        <v>9</v>
      </c>
      <c r="G133" s="7"/>
    </row>
    <row r="134" ht="18" customHeight="1" spans="1:7">
      <c r="A134" s="7">
        <v>132</v>
      </c>
      <c r="B134" s="7" t="str">
        <f t="shared" si="12"/>
        <v>0115</v>
      </c>
      <c r="C134" s="7" t="s">
        <v>19</v>
      </c>
      <c r="D134" s="7" t="str">
        <f t="shared" si="9"/>
        <v>教师岗</v>
      </c>
      <c r="E134" s="7" t="str">
        <f>"陈旻琚"</f>
        <v>陈旻琚</v>
      </c>
      <c r="F134" s="7" t="s">
        <v>9</v>
      </c>
      <c r="G134" s="7"/>
    </row>
    <row r="135" ht="18" customHeight="1" spans="1:7">
      <c r="A135" s="7">
        <v>133</v>
      </c>
      <c r="B135" s="7" t="str">
        <f t="shared" si="12"/>
        <v>0115</v>
      </c>
      <c r="C135" s="7" t="s">
        <v>19</v>
      </c>
      <c r="D135" s="7" t="str">
        <f t="shared" si="9"/>
        <v>教师岗</v>
      </c>
      <c r="E135" s="7" t="str">
        <f>"杨成"</f>
        <v>杨成</v>
      </c>
      <c r="F135" s="7" t="s">
        <v>9</v>
      </c>
      <c r="G135" s="7"/>
    </row>
    <row r="136" ht="18" customHeight="1" spans="1:7">
      <c r="A136" s="7">
        <v>134</v>
      </c>
      <c r="B136" s="7" t="str">
        <f t="shared" si="12"/>
        <v>0115</v>
      </c>
      <c r="C136" s="7" t="s">
        <v>19</v>
      </c>
      <c r="D136" s="7" t="str">
        <f t="shared" si="9"/>
        <v>教师岗</v>
      </c>
      <c r="E136" s="7" t="str">
        <f>"赵琦"</f>
        <v>赵琦</v>
      </c>
      <c r="F136" s="7" t="s">
        <v>9</v>
      </c>
      <c r="G136" s="7"/>
    </row>
    <row r="137" ht="18" customHeight="1" spans="1:7">
      <c r="A137" s="7">
        <v>135</v>
      </c>
      <c r="B137" s="7" t="str">
        <f t="shared" si="12"/>
        <v>0115</v>
      </c>
      <c r="C137" s="7" t="s">
        <v>19</v>
      </c>
      <c r="D137" s="7" t="str">
        <f t="shared" si="9"/>
        <v>教师岗</v>
      </c>
      <c r="E137" s="7" t="str">
        <f>"金灵巧"</f>
        <v>金灵巧</v>
      </c>
      <c r="F137" s="7" t="s">
        <v>9</v>
      </c>
      <c r="G137" s="7"/>
    </row>
    <row r="138" ht="18" customHeight="1" spans="1:7">
      <c r="A138" s="7">
        <v>136</v>
      </c>
      <c r="B138" s="7" t="str">
        <f t="shared" si="12"/>
        <v>0115</v>
      </c>
      <c r="C138" s="7" t="s">
        <v>19</v>
      </c>
      <c r="D138" s="7" t="str">
        <f t="shared" si="9"/>
        <v>教师岗</v>
      </c>
      <c r="E138" s="7" t="str">
        <f>"孙绪彬"</f>
        <v>孙绪彬</v>
      </c>
      <c r="F138" s="7" t="s">
        <v>9</v>
      </c>
      <c r="G138" s="7"/>
    </row>
    <row r="139" ht="18" customHeight="1" spans="1:7">
      <c r="A139" s="7">
        <v>137</v>
      </c>
      <c r="B139" s="7" t="str">
        <f t="shared" si="12"/>
        <v>0115</v>
      </c>
      <c r="C139" s="7" t="s">
        <v>19</v>
      </c>
      <c r="D139" s="7" t="str">
        <f t="shared" si="9"/>
        <v>教师岗</v>
      </c>
      <c r="E139" s="7" t="str">
        <f>"李璐煜"</f>
        <v>李璐煜</v>
      </c>
      <c r="F139" s="7" t="s">
        <v>9</v>
      </c>
      <c r="G139" s="7"/>
    </row>
    <row r="140" ht="18" customHeight="1" spans="1:7">
      <c r="A140" s="7">
        <v>138</v>
      </c>
      <c r="B140" s="7" t="str">
        <f t="shared" si="12"/>
        <v>0115</v>
      </c>
      <c r="C140" s="7" t="s">
        <v>19</v>
      </c>
      <c r="D140" s="7" t="str">
        <f t="shared" si="9"/>
        <v>教师岗</v>
      </c>
      <c r="E140" s="7" t="str">
        <f>"周崧煌"</f>
        <v>周崧煌</v>
      </c>
      <c r="F140" s="7" t="s">
        <v>9</v>
      </c>
      <c r="G140" s="7"/>
    </row>
    <row r="141" ht="18" customHeight="1" spans="1:7">
      <c r="A141" s="7">
        <v>139</v>
      </c>
      <c r="B141" s="7" t="str">
        <f t="shared" si="12"/>
        <v>0115</v>
      </c>
      <c r="C141" s="7" t="s">
        <v>19</v>
      </c>
      <c r="D141" s="7" t="str">
        <f>"教师岗"</f>
        <v>教师岗</v>
      </c>
      <c r="E141" s="9" t="str">
        <f>"李璐"</f>
        <v>李璐</v>
      </c>
      <c r="F141" s="7" t="s">
        <v>9</v>
      </c>
      <c r="G141" s="7" t="str">
        <f>"182461"</f>
        <v>182461</v>
      </c>
    </row>
    <row r="142" ht="18" customHeight="1" spans="1:7">
      <c r="A142" s="7">
        <v>140</v>
      </c>
      <c r="B142" s="7" t="str">
        <f t="shared" si="12"/>
        <v>0115</v>
      </c>
      <c r="C142" s="7" t="s">
        <v>19</v>
      </c>
      <c r="D142" s="7" t="str">
        <f>"教师岗"</f>
        <v>教师岗</v>
      </c>
      <c r="E142" s="7" t="str">
        <f>"刘晓芳"</f>
        <v>刘晓芳</v>
      </c>
      <c r="F142" s="7" t="s">
        <v>9</v>
      </c>
      <c r="G142" s="7"/>
    </row>
    <row r="143" ht="18" customHeight="1" spans="1:7">
      <c r="A143" s="7">
        <v>141</v>
      </c>
      <c r="B143" s="7" t="str">
        <f t="shared" ref="B143:B155" si="13">"0117"</f>
        <v>0117</v>
      </c>
      <c r="C143" s="7" t="s">
        <v>20</v>
      </c>
      <c r="D143" s="7" t="str">
        <f t="shared" ref="D143:D182" si="14">"教师岗"</f>
        <v>教师岗</v>
      </c>
      <c r="E143" s="7" t="str">
        <f>"袁梦"</f>
        <v>袁梦</v>
      </c>
      <c r="F143" s="7" t="s">
        <v>9</v>
      </c>
      <c r="G143" s="7"/>
    </row>
    <row r="144" ht="18" customHeight="1" spans="1:7">
      <c r="A144" s="7">
        <v>142</v>
      </c>
      <c r="B144" s="7" t="str">
        <f t="shared" si="13"/>
        <v>0117</v>
      </c>
      <c r="C144" s="7" t="s">
        <v>20</v>
      </c>
      <c r="D144" s="7" t="str">
        <f t="shared" si="14"/>
        <v>教师岗</v>
      </c>
      <c r="E144" s="7" t="str">
        <f>"陈怡"</f>
        <v>陈怡</v>
      </c>
      <c r="F144" s="7" t="s">
        <v>9</v>
      </c>
      <c r="G144" s="7"/>
    </row>
    <row r="145" ht="18" customHeight="1" spans="1:7">
      <c r="A145" s="7">
        <v>143</v>
      </c>
      <c r="B145" s="7" t="str">
        <f t="shared" si="13"/>
        <v>0117</v>
      </c>
      <c r="C145" s="7" t="s">
        <v>20</v>
      </c>
      <c r="D145" s="7" t="str">
        <f t="shared" si="14"/>
        <v>教师岗</v>
      </c>
      <c r="E145" s="7" t="str">
        <f>"王艺蒙"</f>
        <v>王艺蒙</v>
      </c>
      <c r="F145" s="7" t="s">
        <v>9</v>
      </c>
      <c r="G145" s="7"/>
    </row>
    <row r="146" ht="18" customHeight="1" spans="1:7">
      <c r="A146" s="7">
        <v>144</v>
      </c>
      <c r="B146" s="7" t="str">
        <f t="shared" si="13"/>
        <v>0117</v>
      </c>
      <c r="C146" s="7" t="s">
        <v>20</v>
      </c>
      <c r="D146" s="7" t="str">
        <f t="shared" si="14"/>
        <v>教师岗</v>
      </c>
      <c r="E146" s="7" t="str">
        <f>"张永祥"</f>
        <v>张永祥</v>
      </c>
      <c r="F146" s="7" t="s">
        <v>9</v>
      </c>
      <c r="G146" s="7"/>
    </row>
    <row r="147" ht="18" customHeight="1" spans="1:7">
      <c r="A147" s="7">
        <v>145</v>
      </c>
      <c r="B147" s="7" t="str">
        <f t="shared" si="13"/>
        <v>0117</v>
      </c>
      <c r="C147" s="7" t="s">
        <v>20</v>
      </c>
      <c r="D147" s="7" t="str">
        <f t="shared" si="14"/>
        <v>教师岗</v>
      </c>
      <c r="E147" s="7" t="str">
        <f>"王潇茹"</f>
        <v>王潇茹</v>
      </c>
      <c r="F147" s="7" t="s">
        <v>9</v>
      </c>
      <c r="G147" s="7"/>
    </row>
    <row r="148" ht="18" customHeight="1" spans="1:7">
      <c r="A148" s="7">
        <v>146</v>
      </c>
      <c r="B148" s="7" t="str">
        <f t="shared" si="13"/>
        <v>0117</v>
      </c>
      <c r="C148" s="7" t="s">
        <v>20</v>
      </c>
      <c r="D148" s="7" t="str">
        <f t="shared" si="14"/>
        <v>教师岗</v>
      </c>
      <c r="E148" s="7" t="str">
        <f>"容英"</f>
        <v>容英</v>
      </c>
      <c r="F148" s="7" t="s">
        <v>9</v>
      </c>
      <c r="G148" s="7"/>
    </row>
    <row r="149" ht="18" customHeight="1" spans="1:7">
      <c r="A149" s="7">
        <v>147</v>
      </c>
      <c r="B149" s="7" t="str">
        <f t="shared" si="13"/>
        <v>0117</v>
      </c>
      <c r="C149" s="7" t="s">
        <v>20</v>
      </c>
      <c r="D149" s="7" t="str">
        <f t="shared" si="14"/>
        <v>教师岗</v>
      </c>
      <c r="E149" s="7" t="str">
        <f>"关丰"</f>
        <v>关丰</v>
      </c>
      <c r="F149" s="7" t="s">
        <v>9</v>
      </c>
      <c r="G149" s="7"/>
    </row>
    <row r="150" ht="18" customHeight="1" spans="1:7">
      <c r="A150" s="7">
        <v>148</v>
      </c>
      <c r="B150" s="7" t="str">
        <f t="shared" si="13"/>
        <v>0117</v>
      </c>
      <c r="C150" s="7" t="s">
        <v>20</v>
      </c>
      <c r="D150" s="7" t="str">
        <f t="shared" si="14"/>
        <v>教师岗</v>
      </c>
      <c r="E150" s="7" t="str">
        <f>"蔡雅青"</f>
        <v>蔡雅青</v>
      </c>
      <c r="F150" s="7" t="s">
        <v>9</v>
      </c>
      <c r="G150" s="7"/>
    </row>
    <row r="151" ht="18" customHeight="1" spans="1:7">
      <c r="A151" s="7">
        <v>149</v>
      </c>
      <c r="B151" s="7" t="str">
        <f t="shared" si="13"/>
        <v>0117</v>
      </c>
      <c r="C151" s="7" t="s">
        <v>20</v>
      </c>
      <c r="D151" s="7" t="str">
        <f t="shared" si="14"/>
        <v>教师岗</v>
      </c>
      <c r="E151" s="7" t="str">
        <f>"瞿诗怡"</f>
        <v>瞿诗怡</v>
      </c>
      <c r="F151" s="7" t="s">
        <v>9</v>
      </c>
      <c r="G151" s="7"/>
    </row>
    <row r="152" ht="18" customHeight="1" spans="1:7">
      <c r="A152" s="7">
        <v>150</v>
      </c>
      <c r="B152" s="7" t="str">
        <f t="shared" si="13"/>
        <v>0117</v>
      </c>
      <c r="C152" s="7" t="s">
        <v>20</v>
      </c>
      <c r="D152" s="7" t="str">
        <f t="shared" si="14"/>
        <v>教师岗</v>
      </c>
      <c r="E152" s="7" t="str">
        <f>"高玺博"</f>
        <v>高玺博</v>
      </c>
      <c r="F152" s="7" t="s">
        <v>9</v>
      </c>
      <c r="G152" s="7"/>
    </row>
    <row r="153" ht="18" customHeight="1" spans="1:7">
      <c r="A153" s="7">
        <v>151</v>
      </c>
      <c r="B153" s="7" t="str">
        <f t="shared" si="13"/>
        <v>0117</v>
      </c>
      <c r="C153" s="7" t="s">
        <v>20</v>
      </c>
      <c r="D153" s="7" t="str">
        <f t="shared" si="14"/>
        <v>教师岗</v>
      </c>
      <c r="E153" s="7" t="str">
        <f>"程汝佳"</f>
        <v>程汝佳</v>
      </c>
      <c r="F153" s="7" t="s">
        <v>9</v>
      </c>
      <c r="G153" s="7"/>
    </row>
    <row r="154" ht="18" customHeight="1" spans="1:7">
      <c r="A154" s="7">
        <v>152</v>
      </c>
      <c r="B154" s="7" t="str">
        <f t="shared" si="13"/>
        <v>0117</v>
      </c>
      <c r="C154" s="7" t="s">
        <v>20</v>
      </c>
      <c r="D154" s="7" t="str">
        <f t="shared" si="14"/>
        <v>教师岗</v>
      </c>
      <c r="E154" s="7" t="str">
        <f>"贾一博"</f>
        <v>贾一博</v>
      </c>
      <c r="F154" s="7" t="s">
        <v>9</v>
      </c>
      <c r="G154" s="7"/>
    </row>
    <row r="155" ht="18" customHeight="1" spans="1:7">
      <c r="A155" s="7">
        <v>153</v>
      </c>
      <c r="B155" s="7" t="str">
        <f t="shared" si="13"/>
        <v>0117</v>
      </c>
      <c r="C155" s="7" t="s">
        <v>20</v>
      </c>
      <c r="D155" s="7" t="str">
        <f t="shared" si="14"/>
        <v>教师岗</v>
      </c>
      <c r="E155" s="7" t="str">
        <f>"何英"</f>
        <v>何英</v>
      </c>
      <c r="F155" s="7" t="s">
        <v>9</v>
      </c>
      <c r="G155" s="7"/>
    </row>
    <row r="156" ht="18" customHeight="1" spans="1:7">
      <c r="A156" s="7">
        <v>154</v>
      </c>
      <c r="B156" s="7" t="str">
        <f>"0118"</f>
        <v>0118</v>
      </c>
      <c r="C156" s="7" t="s">
        <v>21</v>
      </c>
      <c r="D156" s="7" t="str">
        <f t="shared" si="14"/>
        <v>教师岗</v>
      </c>
      <c r="E156" s="7" t="str">
        <f>"陈卓"</f>
        <v>陈卓</v>
      </c>
      <c r="F156" s="7" t="s">
        <v>9</v>
      </c>
      <c r="G156" s="7"/>
    </row>
    <row r="157" ht="18" customHeight="1" spans="1:7">
      <c r="A157" s="7">
        <v>155</v>
      </c>
      <c r="B157" s="7" t="str">
        <f>"0118"</f>
        <v>0118</v>
      </c>
      <c r="C157" s="7" t="s">
        <v>21</v>
      </c>
      <c r="D157" s="7" t="str">
        <f t="shared" si="14"/>
        <v>教师岗</v>
      </c>
      <c r="E157" s="7" t="str">
        <f>"张佳伟"</f>
        <v>张佳伟</v>
      </c>
      <c r="F157" s="7" t="s">
        <v>9</v>
      </c>
      <c r="G157" s="7"/>
    </row>
    <row r="158" ht="18" customHeight="1" spans="1:7">
      <c r="A158" s="7">
        <v>156</v>
      </c>
      <c r="B158" s="7" t="str">
        <f>"0118"</f>
        <v>0118</v>
      </c>
      <c r="C158" s="7" t="s">
        <v>21</v>
      </c>
      <c r="D158" s="7" t="str">
        <f t="shared" si="14"/>
        <v>教师岗</v>
      </c>
      <c r="E158" s="7" t="str">
        <f>"张斯涵"</f>
        <v>张斯涵</v>
      </c>
      <c r="F158" s="7" t="s">
        <v>9</v>
      </c>
      <c r="G158" s="7"/>
    </row>
    <row r="159" ht="18" customHeight="1" spans="1:7">
      <c r="A159" s="7">
        <v>157</v>
      </c>
      <c r="B159" s="7" t="str">
        <f>"0118"</f>
        <v>0118</v>
      </c>
      <c r="C159" s="7" t="s">
        <v>21</v>
      </c>
      <c r="D159" s="7" t="str">
        <f t="shared" si="14"/>
        <v>教师岗</v>
      </c>
      <c r="E159" s="7" t="str">
        <f>"黄波"</f>
        <v>黄波</v>
      </c>
      <c r="F159" s="7" t="s">
        <v>9</v>
      </c>
      <c r="G159" s="7"/>
    </row>
    <row r="160" ht="18" customHeight="1" spans="1:7">
      <c r="A160" s="7">
        <v>158</v>
      </c>
      <c r="B160" s="7" t="str">
        <f>"0118"</f>
        <v>0118</v>
      </c>
      <c r="C160" s="7" t="s">
        <v>21</v>
      </c>
      <c r="D160" s="7" t="str">
        <f t="shared" si="14"/>
        <v>教师岗</v>
      </c>
      <c r="E160" s="7" t="str">
        <f>"高旭"</f>
        <v>高旭</v>
      </c>
      <c r="F160" s="7" t="s">
        <v>9</v>
      </c>
      <c r="G160" s="7"/>
    </row>
    <row r="161" ht="18" customHeight="1" spans="1:7">
      <c r="A161" s="7">
        <v>159</v>
      </c>
      <c r="B161" s="7" t="str">
        <f t="shared" ref="B161:B174" si="15">"0119"</f>
        <v>0119</v>
      </c>
      <c r="C161" s="7" t="s">
        <v>22</v>
      </c>
      <c r="D161" s="7" t="str">
        <f t="shared" si="14"/>
        <v>教师岗</v>
      </c>
      <c r="E161" s="7" t="str">
        <f>"程天宇"</f>
        <v>程天宇</v>
      </c>
      <c r="F161" s="7" t="s">
        <v>9</v>
      </c>
      <c r="G161" s="7"/>
    </row>
    <row r="162" ht="18" customHeight="1" spans="1:7">
      <c r="A162" s="7">
        <v>160</v>
      </c>
      <c r="B162" s="7" t="str">
        <f t="shared" si="15"/>
        <v>0119</v>
      </c>
      <c r="C162" s="7" t="s">
        <v>22</v>
      </c>
      <c r="D162" s="7" t="str">
        <f t="shared" si="14"/>
        <v>教师岗</v>
      </c>
      <c r="E162" s="7" t="str">
        <f>"曲盈盈"</f>
        <v>曲盈盈</v>
      </c>
      <c r="F162" s="7" t="s">
        <v>9</v>
      </c>
      <c r="G162" s="7"/>
    </row>
    <row r="163" ht="18" customHeight="1" spans="1:7">
      <c r="A163" s="7">
        <v>161</v>
      </c>
      <c r="B163" s="7" t="str">
        <f t="shared" si="15"/>
        <v>0119</v>
      </c>
      <c r="C163" s="7" t="s">
        <v>22</v>
      </c>
      <c r="D163" s="7" t="str">
        <f t="shared" si="14"/>
        <v>教师岗</v>
      </c>
      <c r="E163" s="7" t="str">
        <f>"张馨桐"</f>
        <v>张馨桐</v>
      </c>
      <c r="F163" s="7" t="s">
        <v>9</v>
      </c>
      <c r="G163" s="7"/>
    </row>
    <row r="164" ht="18" customHeight="1" spans="1:7">
      <c r="A164" s="7">
        <v>162</v>
      </c>
      <c r="B164" s="7" t="str">
        <f t="shared" si="15"/>
        <v>0119</v>
      </c>
      <c r="C164" s="7" t="s">
        <v>22</v>
      </c>
      <c r="D164" s="7" t="str">
        <f t="shared" si="14"/>
        <v>教师岗</v>
      </c>
      <c r="E164" s="7" t="str">
        <f>"吴佳谕"</f>
        <v>吴佳谕</v>
      </c>
      <c r="F164" s="7" t="s">
        <v>9</v>
      </c>
      <c r="G164" s="7"/>
    </row>
    <row r="165" ht="18" customHeight="1" spans="1:7">
      <c r="A165" s="7">
        <v>163</v>
      </c>
      <c r="B165" s="7" t="str">
        <f t="shared" si="15"/>
        <v>0119</v>
      </c>
      <c r="C165" s="7" t="s">
        <v>22</v>
      </c>
      <c r="D165" s="7" t="str">
        <f t="shared" si="14"/>
        <v>教师岗</v>
      </c>
      <c r="E165" s="7" t="str">
        <f>"杨斯乔"</f>
        <v>杨斯乔</v>
      </c>
      <c r="F165" s="7" t="s">
        <v>9</v>
      </c>
      <c r="G165" s="7"/>
    </row>
    <row r="166" ht="18" customHeight="1" spans="1:7">
      <c r="A166" s="7">
        <v>164</v>
      </c>
      <c r="B166" s="7" t="str">
        <f t="shared" si="15"/>
        <v>0119</v>
      </c>
      <c r="C166" s="7" t="s">
        <v>22</v>
      </c>
      <c r="D166" s="7" t="str">
        <f t="shared" si="14"/>
        <v>教师岗</v>
      </c>
      <c r="E166" s="7" t="str">
        <f>"陈兰芳"</f>
        <v>陈兰芳</v>
      </c>
      <c r="F166" s="7" t="s">
        <v>9</v>
      </c>
      <c r="G166" s="7"/>
    </row>
    <row r="167" ht="18" customHeight="1" spans="1:7">
      <c r="A167" s="7">
        <v>165</v>
      </c>
      <c r="B167" s="7" t="str">
        <f t="shared" si="15"/>
        <v>0119</v>
      </c>
      <c r="C167" s="7" t="s">
        <v>22</v>
      </c>
      <c r="D167" s="7" t="str">
        <f t="shared" si="14"/>
        <v>教师岗</v>
      </c>
      <c r="E167" s="7" t="str">
        <f>"张银瓶"</f>
        <v>张银瓶</v>
      </c>
      <c r="F167" s="7" t="s">
        <v>9</v>
      </c>
      <c r="G167" s="7"/>
    </row>
    <row r="168" ht="18" customHeight="1" spans="1:7">
      <c r="A168" s="7">
        <v>166</v>
      </c>
      <c r="B168" s="7" t="str">
        <f t="shared" si="15"/>
        <v>0119</v>
      </c>
      <c r="C168" s="7" t="s">
        <v>22</v>
      </c>
      <c r="D168" s="7" t="str">
        <f t="shared" si="14"/>
        <v>教师岗</v>
      </c>
      <c r="E168" s="7" t="str">
        <f>"韩田田"</f>
        <v>韩田田</v>
      </c>
      <c r="F168" s="7" t="s">
        <v>9</v>
      </c>
      <c r="G168" s="7"/>
    </row>
    <row r="169" ht="18" customHeight="1" spans="1:7">
      <c r="A169" s="7">
        <v>167</v>
      </c>
      <c r="B169" s="7" t="str">
        <f t="shared" si="15"/>
        <v>0119</v>
      </c>
      <c r="C169" s="7" t="s">
        <v>22</v>
      </c>
      <c r="D169" s="7" t="str">
        <f t="shared" si="14"/>
        <v>教师岗</v>
      </c>
      <c r="E169" s="7" t="str">
        <f>"刘双玉"</f>
        <v>刘双玉</v>
      </c>
      <c r="F169" s="7" t="s">
        <v>9</v>
      </c>
      <c r="G169" s="7"/>
    </row>
    <row r="170" ht="18" customHeight="1" spans="1:7">
      <c r="A170" s="7">
        <v>168</v>
      </c>
      <c r="B170" s="7" t="str">
        <f t="shared" si="15"/>
        <v>0119</v>
      </c>
      <c r="C170" s="7" t="s">
        <v>22</v>
      </c>
      <c r="D170" s="7" t="str">
        <f t="shared" si="14"/>
        <v>教师岗</v>
      </c>
      <c r="E170" s="7" t="str">
        <f>"魏梦琦"</f>
        <v>魏梦琦</v>
      </c>
      <c r="F170" s="7" t="s">
        <v>9</v>
      </c>
      <c r="G170" s="7"/>
    </row>
    <row r="171" ht="18" customHeight="1" spans="1:7">
      <c r="A171" s="7">
        <v>169</v>
      </c>
      <c r="B171" s="7" t="str">
        <f t="shared" si="15"/>
        <v>0119</v>
      </c>
      <c r="C171" s="7" t="s">
        <v>22</v>
      </c>
      <c r="D171" s="7" t="str">
        <f t="shared" si="14"/>
        <v>教师岗</v>
      </c>
      <c r="E171" s="7" t="str">
        <f>"冼映弛"</f>
        <v>冼映弛</v>
      </c>
      <c r="F171" s="7" t="s">
        <v>9</v>
      </c>
      <c r="G171" s="7"/>
    </row>
    <row r="172" ht="18" customHeight="1" spans="1:7">
      <c r="A172" s="7">
        <v>170</v>
      </c>
      <c r="B172" s="7" t="str">
        <f t="shared" si="15"/>
        <v>0119</v>
      </c>
      <c r="C172" s="7" t="s">
        <v>22</v>
      </c>
      <c r="D172" s="7" t="str">
        <f t="shared" si="14"/>
        <v>教师岗</v>
      </c>
      <c r="E172" s="7" t="str">
        <f>"冯迦贺"</f>
        <v>冯迦贺</v>
      </c>
      <c r="F172" s="7" t="s">
        <v>9</v>
      </c>
      <c r="G172" s="7"/>
    </row>
    <row r="173" ht="18" customHeight="1" spans="1:7">
      <c r="A173" s="7">
        <v>171</v>
      </c>
      <c r="B173" s="7" t="str">
        <f t="shared" si="15"/>
        <v>0119</v>
      </c>
      <c r="C173" s="7" t="s">
        <v>22</v>
      </c>
      <c r="D173" s="7" t="str">
        <f t="shared" si="14"/>
        <v>教师岗</v>
      </c>
      <c r="E173" s="7" t="str">
        <f>"崔佳慧"</f>
        <v>崔佳慧</v>
      </c>
      <c r="F173" s="7" t="s">
        <v>9</v>
      </c>
      <c r="G173" s="7"/>
    </row>
    <row r="174" ht="18" customHeight="1" spans="1:7">
      <c r="A174" s="7">
        <v>172</v>
      </c>
      <c r="B174" s="7" t="str">
        <f t="shared" si="15"/>
        <v>0119</v>
      </c>
      <c r="C174" s="7" t="s">
        <v>22</v>
      </c>
      <c r="D174" s="7" t="str">
        <f t="shared" si="14"/>
        <v>教师岗</v>
      </c>
      <c r="E174" s="7" t="str">
        <f>"杨玉飞"</f>
        <v>杨玉飞</v>
      </c>
      <c r="F174" s="7" t="s">
        <v>9</v>
      </c>
      <c r="G174" s="7"/>
    </row>
    <row r="175" ht="18" customHeight="1" spans="1:7">
      <c r="A175" s="7">
        <v>173</v>
      </c>
      <c r="B175" s="7" t="str">
        <f t="shared" ref="B175:B182" si="16">"0120"</f>
        <v>0120</v>
      </c>
      <c r="C175" s="7" t="s">
        <v>22</v>
      </c>
      <c r="D175" s="7" t="str">
        <f t="shared" si="14"/>
        <v>教师岗</v>
      </c>
      <c r="E175" s="7" t="str">
        <f>"杨晓"</f>
        <v>杨晓</v>
      </c>
      <c r="F175" s="7" t="s">
        <v>9</v>
      </c>
      <c r="G175" s="7"/>
    </row>
    <row r="176" ht="18" customHeight="1" spans="1:7">
      <c r="A176" s="7">
        <v>174</v>
      </c>
      <c r="B176" s="7" t="str">
        <f t="shared" si="16"/>
        <v>0120</v>
      </c>
      <c r="C176" s="7" t="s">
        <v>22</v>
      </c>
      <c r="D176" s="7" t="str">
        <f t="shared" si="14"/>
        <v>教师岗</v>
      </c>
      <c r="E176" s="7" t="str">
        <f>"李姝悦"</f>
        <v>李姝悦</v>
      </c>
      <c r="F176" s="7" t="s">
        <v>9</v>
      </c>
      <c r="G176" s="7"/>
    </row>
    <row r="177" ht="18" customHeight="1" spans="1:7">
      <c r="A177" s="7">
        <v>175</v>
      </c>
      <c r="B177" s="7" t="str">
        <f t="shared" si="16"/>
        <v>0120</v>
      </c>
      <c r="C177" s="7" t="s">
        <v>22</v>
      </c>
      <c r="D177" s="7" t="str">
        <f t="shared" si="14"/>
        <v>教师岗</v>
      </c>
      <c r="E177" s="7" t="str">
        <f>"温海翠"</f>
        <v>温海翠</v>
      </c>
      <c r="F177" s="7" t="s">
        <v>9</v>
      </c>
      <c r="G177" s="7"/>
    </row>
    <row r="178" ht="18" customHeight="1" spans="1:7">
      <c r="A178" s="7">
        <v>176</v>
      </c>
      <c r="B178" s="7" t="str">
        <f t="shared" si="16"/>
        <v>0120</v>
      </c>
      <c r="C178" s="7" t="s">
        <v>22</v>
      </c>
      <c r="D178" s="7" t="str">
        <f t="shared" si="14"/>
        <v>教师岗</v>
      </c>
      <c r="E178" s="7" t="str">
        <f>"高三幸子"</f>
        <v>高三幸子</v>
      </c>
      <c r="F178" s="7" t="s">
        <v>9</v>
      </c>
      <c r="G178" s="7"/>
    </row>
    <row r="179" ht="18" customHeight="1" spans="1:7">
      <c r="A179" s="7">
        <v>177</v>
      </c>
      <c r="B179" s="7" t="str">
        <f t="shared" si="16"/>
        <v>0120</v>
      </c>
      <c r="C179" s="7" t="s">
        <v>22</v>
      </c>
      <c r="D179" s="7" t="str">
        <f t="shared" si="14"/>
        <v>教师岗</v>
      </c>
      <c r="E179" s="7" t="str">
        <f>"周睦牵"</f>
        <v>周睦牵</v>
      </c>
      <c r="F179" s="7" t="s">
        <v>9</v>
      </c>
      <c r="G179" s="7"/>
    </row>
    <row r="180" ht="18" customHeight="1" spans="1:7">
      <c r="A180" s="7">
        <v>178</v>
      </c>
      <c r="B180" s="7" t="str">
        <f t="shared" si="16"/>
        <v>0120</v>
      </c>
      <c r="C180" s="7" t="s">
        <v>22</v>
      </c>
      <c r="D180" s="7" t="str">
        <f t="shared" si="14"/>
        <v>教师岗</v>
      </c>
      <c r="E180" s="7" t="str">
        <f>"吕靓伟"</f>
        <v>吕靓伟</v>
      </c>
      <c r="F180" s="7" t="s">
        <v>9</v>
      </c>
      <c r="G180" s="7"/>
    </row>
    <row r="181" ht="18" customHeight="1" spans="1:7">
      <c r="A181" s="7">
        <v>179</v>
      </c>
      <c r="B181" s="7" t="str">
        <f t="shared" si="16"/>
        <v>0120</v>
      </c>
      <c r="C181" s="7" t="s">
        <v>22</v>
      </c>
      <c r="D181" s="7" t="str">
        <f t="shared" si="14"/>
        <v>教师岗</v>
      </c>
      <c r="E181" s="7" t="str">
        <f>"董建兵"</f>
        <v>董建兵</v>
      </c>
      <c r="F181" s="7" t="s">
        <v>9</v>
      </c>
      <c r="G181" s="7"/>
    </row>
    <row r="182" ht="18" customHeight="1" spans="1:7">
      <c r="A182" s="7">
        <v>180</v>
      </c>
      <c r="B182" s="7" t="str">
        <f t="shared" si="16"/>
        <v>0120</v>
      </c>
      <c r="C182" s="7" t="s">
        <v>22</v>
      </c>
      <c r="D182" s="7" t="str">
        <f t="shared" si="14"/>
        <v>教师岗</v>
      </c>
      <c r="E182" s="7" t="str">
        <f>"郑佳丽"</f>
        <v>郑佳丽</v>
      </c>
      <c r="F182" s="7" t="s">
        <v>9</v>
      </c>
      <c r="G182" s="7"/>
    </row>
    <row r="183" ht="18" customHeight="1" spans="1:7">
      <c r="A183" s="7">
        <v>181</v>
      </c>
      <c r="B183" s="7" t="str">
        <f t="shared" ref="B183:B194" si="17">"0121"</f>
        <v>0121</v>
      </c>
      <c r="C183" s="7" t="s">
        <v>23</v>
      </c>
      <c r="D183" s="7" t="s">
        <v>15</v>
      </c>
      <c r="E183" s="7" t="str">
        <f>"刘俊南"</f>
        <v>刘俊南</v>
      </c>
      <c r="F183" s="7" t="s">
        <v>9</v>
      </c>
      <c r="G183" s="7"/>
    </row>
    <row r="184" ht="18" customHeight="1" spans="1:7">
      <c r="A184" s="7">
        <v>182</v>
      </c>
      <c r="B184" s="7" t="str">
        <f t="shared" si="17"/>
        <v>0121</v>
      </c>
      <c r="C184" s="7" t="s">
        <v>23</v>
      </c>
      <c r="D184" s="7" t="str">
        <f>"教师岗"</f>
        <v>教师岗</v>
      </c>
      <c r="E184" s="7" t="str">
        <f>"杨秋霞"</f>
        <v>杨秋霞</v>
      </c>
      <c r="F184" s="7" t="s">
        <v>9</v>
      </c>
      <c r="G184" s="7"/>
    </row>
    <row r="185" ht="18" customHeight="1" spans="1:7">
      <c r="A185" s="7">
        <v>183</v>
      </c>
      <c r="B185" s="7" t="str">
        <f t="shared" si="17"/>
        <v>0121</v>
      </c>
      <c r="C185" s="7" t="s">
        <v>23</v>
      </c>
      <c r="D185" s="7" t="s">
        <v>15</v>
      </c>
      <c r="E185" s="7" t="str">
        <f>"李玉洁"</f>
        <v>李玉洁</v>
      </c>
      <c r="F185" s="7" t="s">
        <v>9</v>
      </c>
      <c r="G185" s="7"/>
    </row>
    <row r="186" ht="18" customHeight="1" spans="1:7">
      <c r="A186" s="7">
        <v>184</v>
      </c>
      <c r="B186" s="7" t="str">
        <f t="shared" si="17"/>
        <v>0121</v>
      </c>
      <c r="C186" s="7" t="s">
        <v>23</v>
      </c>
      <c r="D186" s="7" t="str">
        <f>"教师岗"</f>
        <v>教师岗</v>
      </c>
      <c r="E186" s="7" t="str">
        <f>"李芳林"</f>
        <v>李芳林</v>
      </c>
      <c r="F186" s="7" t="s">
        <v>9</v>
      </c>
      <c r="G186" s="7"/>
    </row>
    <row r="187" ht="18" customHeight="1" spans="1:7">
      <c r="A187" s="7">
        <v>185</v>
      </c>
      <c r="B187" s="7" t="str">
        <f t="shared" si="17"/>
        <v>0121</v>
      </c>
      <c r="C187" s="7" t="s">
        <v>23</v>
      </c>
      <c r="D187" s="7" t="s">
        <v>15</v>
      </c>
      <c r="E187" s="7" t="str">
        <f>"何倩"</f>
        <v>何倩</v>
      </c>
      <c r="F187" s="7" t="s">
        <v>9</v>
      </c>
      <c r="G187" s="7"/>
    </row>
    <row r="188" ht="18" customHeight="1" spans="1:7">
      <c r="A188" s="7">
        <v>186</v>
      </c>
      <c r="B188" s="7" t="str">
        <f t="shared" si="17"/>
        <v>0121</v>
      </c>
      <c r="C188" s="7" t="s">
        <v>23</v>
      </c>
      <c r="D188" s="7" t="str">
        <f t="shared" ref="D188:D251" si="18">"教师岗"</f>
        <v>教师岗</v>
      </c>
      <c r="E188" s="7" t="str">
        <f>"李宁馨"</f>
        <v>李宁馨</v>
      </c>
      <c r="F188" s="7" t="s">
        <v>9</v>
      </c>
      <c r="G188" s="7"/>
    </row>
    <row r="189" ht="18" customHeight="1" spans="1:7">
      <c r="A189" s="7">
        <v>187</v>
      </c>
      <c r="B189" s="7" t="str">
        <f t="shared" si="17"/>
        <v>0121</v>
      </c>
      <c r="C189" s="7" t="s">
        <v>23</v>
      </c>
      <c r="D189" s="7" t="str">
        <f t="shared" si="18"/>
        <v>教师岗</v>
      </c>
      <c r="E189" s="7" t="str">
        <f>"杨雅麟"</f>
        <v>杨雅麟</v>
      </c>
      <c r="F189" s="7" t="s">
        <v>9</v>
      </c>
      <c r="G189" s="7"/>
    </row>
    <row r="190" ht="18" customHeight="1" spans="1:7">
      <c r="A190" s="7">
        <v>188</v>
      </c>
      <c r="B190" s="7" t="str">
        <f t="shared" si="17"/>
        <v>0121</v>
      </c>
      <c r="C190" s="7" t="s">
        <v>23</v>
      </c>
      <c r="D190" s="7" t="str">
        <f t="shared" si="18"/>
        <v>教师岗</v>
      </c>
      <c r="E190" s="7" t="str">
        <f>"辛悦"</f>
        <v>辛悦</v>
      </c>
      <c r="F190" s="7" t="s">
        <v>9</v>
      </c>
      <c r="G190" s="7"/>
    </row>
    <row r="191" ht="18" customHeight="1" spans="1:7">
      <c r="A191" s="7">
        <v>189</v>
      </c>
      <c r="B191" s="7" t="str">
        <f t="shared" si="17"/>
        <v>0121</v>
      </c>
      <c r="C191" s="7" t="s">
        <v>23</v>
      </c>
      <c r="D191" s="7" t="str">
        <f t="shared" si="18"/>
        <v>教师岗</v>
      </c>
      <c r="E191" s="7" t="str">
        <f>"徐畅"</f>
        <v>徐畅</v>
      </c>
      <c r="F191" s="7" t="s">
        <v>9</v>
      </c>
      <c r="G191" s="7"/>
    </row>
    <row r="192" ht="18" customHeight="1" spans="1:7">
      <c r="A192" s="7">
        <v>190</v>
      </c>
      <c r="B192" s="7" t="str">
        <f t="shared" si="17"/>
        <v>0121</v>
      </c>
      <c r="C192" s="7" t="s">
        <v>23</v>
      </c>
      <c r="D192" s="7" t="str">
        <f t="shared" si="18"/>
        <v>教师岗</v>
      </c>
      <c r="E192" s="7" t="str">
        <f>"陈豪"</f>
        <v>陈豪</v>
      </c>
      <c r="F192" s="7" t="s">
        <v>9</v>
      </c>
      <c r="G192" s="7"/>
    </row>
    <row r="193" ht="18" customHeight="1" spans="1:7">
      <c r="A193" s="7">
        <v>191</v>
      </c>
      <c r="B193" s="7" t="str">
        <f t="shared" si="17"/>
        <v>0121</v>
      </c>
      <c r="C193" s="7" t="s">
        <v>23</v>
      </c>
      <c r="D193" s="7" t="str">
        <f t="shared" si="18"/>
        <v>教师岗</v>
      </c>
      <c r="E193" s="7" t="str">
        <f>"郑建"</f>
        <v>郑建</v>
      </c>
      <c r="F193" s="7" t="s">
        <v>9</v>
      </c>
      <c r="G193" s="7"/>
    </row>
    <row r="194" ht="18" customHeight="1" spans="1:7">
      <c r="A194" s="7">
        <v>192</v>
      </c>
      <c r="B194" s="7" t="str">
        <f t="shared" si="17"/>
        <v>0121</v>
      </c>
      <c r="C194" s="7" t="s">
        <v>23</v>
      </c>
      <c r="D194" s="7" t="str">
        <f t="shared" si="18"/>
        <v>教师岗</v>
      </c>
      <c r="E194" s="7" t="str">
        <f>"赵媛"</f>
        <v>赵媛</v>
      </c>
      <c r="F194" s="7" t="s">
        <v>9</v>
      </c>
      <c r="G194" s="7"/>
    </row>
    <row r="195" ht="18" customHeight="1" spans="1:7">
      <c r="A195" s="7">
        <v>193</v>
      </c>
      <c r="B195" s="7" t="str">
        <f>"0122"</f>
        <v>0122</v>
      </c>
      <c r="C195" s="7" t="s">
        <v>24</v>
      </c>
      <c r="D195" s="7" t="str">
        <f t="shared" si="18"/>
        <v>教师岗</v>
      </c>
      <c r="E195" s="7" t="str">
        <f>"陈吕佳"</f>
        <v>陈吕佳</v>
      </c>
      <c r="F195" s="7" t="s">
        <v>9</v>
      </c>
      <c r="G195" s="7"/>
    </row>
    <row r="196" ht="18" customHeight="1" spans="1:7">
      <c r="A196" s="7">
        <v>194</v>
      </c>
      <c r="B196" s="7" t="str">
        <f>"0122"</f>
        <v>0122</v>
      </c>
      <c r="C196" s="7" t="s">
        <v>24</v>
      </c>
      <c r="D196" s="7" t="str">
        <f t="shared" si="18"/>
        <v>教师岗</v>
      </c>
      <c r="E196" s="7" t="str">
        <f>"魏微"</f>
        <v>魏微</v>
      </c>
      <c r="F196" s="7" t="s">
        <v>9</v>
      </c>
      <c r="G196" s="7"/>
    </row>
    <row r="197" ht="18" customHeight="1" spans="1:7">
      <c r="A197" s="7">
        <v>195</v>
      </c>
      <c r="B197" s="7" t="str">
        <f>"0122"</f>
        <v>0122</v>
      </c>
      <c r="C197" s="7" t="s">
        <v>24</v>
      </c>
      <c r="D197" s="7" t="str">
        <f t="shared" si="18"/>
        <v>教师岗</v>
      </c>
      <c r="E197" s="7" t="str">
        <f>"宋丽红"</f>
        <v>宋丽红</v>
      </c>
      <c r="F197" s="7" t="s">
        <v>9</v>
      </c>
      <c r="G197" s="7"/>
    </row>
    <row r="198" ht="18" customHeight="1" spans="1:7">
      <c r="A198" s="7">
        <v>196</v>
      </c>
      <c r="B198" s="7" t="str">
        <f t="shared" ref="B198:B208" si="19">"0123"</f>
        <v>0123</v>
      </c>
      <c r="C198" s="7" t="s">
        <v>25</v>
      </c>
      <c r="D198" s="7" t="str">
        <f t="shared" si="18"/>
        <v>教师岗</v>
      </c>
      <c r="E198" s="7" t="str">
        <f>"孙茜娟"</f>
        <v>孙茜娟</v>
      </c>
      <c r="F198" s="7" t="s">
        <v>9</v>
      </c>
      <c r="G198" s="7"/>
    </row>
    <row r="199" ht="18" customHeight="1" spans="1:7">
      <c r="A199" s="7">
        <v>197</v>
      </c>
      <c r="B199" s="7" t="str">
        <f t="shared" si="19"/>
        <v>0123</v>
      </c>
      <c r="C199" s="7" t="s">
        <v>25</v>
      </c>
      <c r="D199" s="7" t="str">
        <f t="shared" si="18"/>
        <v>教师岗</v>
      </c>
      <c r="E199" s="7" t="str">
        <f>"邓安琪"</f>
        <v>邓安琪</v>
      </c>
      <c r="F199" s="7" t="s">
        <v>9</v>
      </c>
      <c r="G199" s="7"/>
    </row>
    <row r="200" ht="18" customHeight="1" spans="1:7">
      <c r="A200" s="7">
        <v>198</v>
      </c>
      <c r="B200" s="7" t="str">
        <f t="shared" si="19"/>
        <v>0123</v>
      </c>
      <c r="C200" s="7" t="s">
        <v>25</v>
      </c>
      <c r="D200" s="7" t="str">
        <f t="shared" si="18"/>
        <v>教师岗</v>
      </c>
      <c r="E200" s="7" t="str">
        <f>"林全金"</f>
        <v>林全金</v>
      </c>
      <c r="F200" s="7" t="s">
        <v>9</v>
      </c>
      <c r="G200" s="7"/>
    </row>
    <row r="201" ht="18" customHeight="1" spans="1:7">
      <c r="A201" s="7">
        <v>199</v>
      </c>
      <c r="B201" s="7" t="str">
        <f t="shared" si="19"/>
        <v>0123</v>
      </c>
      <c r="C201" s="7" t="s">
        <v>25</v>
      </c>
      <c r="D201" s="7" t="str">
        <f t="shared" si="18"/>
        <v>教师岗</v>
      </c>
      <c r="E201" s="7" t="str">
        <f>"黄晨晨"</f>
        <v>黄晨晨</v>
      </c>
      <c r="F201" s="7" t="s">
        <v>9</v>
      </c>
      <c r="G201" s="7"/>
    </row>
    <row r="202" ht="18" customHeight="1" spans="1:7">
      <c r="A202" s="7">
        <v>200</v>
      </c>
      <c r="B202" s="7" t="str">
        <f t="shared" si="19"/>
        <v>0123</v>
      </c>
      <c r="C202" s="7" t="s">
        <v>25</v>
      </c>
      <c r="D202" s="7" t="str">
        <f t="shared" si="18"/>
        <v>教师岗</v>
      </c>
      <c r="E202" s="7" t="str">
        <f>"闫玉洁"</f>
        <v>闫玉洁</v>
      </c>
      <c r="F202" s="7" t="s">
        <v>9</v>
      </c>
      <c r="G202" s="7"/>
    </row>
    <row r="203" ht="18" customHeight="1" spans="1:7">
      <c r="A203" s="7">
        <v>201</v>
      </c>
      <c r="B203" s="7" t="str">
        <f t="shared" si="19"/>
        <v>0123</v>
      </c>
      <c r="C203" s="7" t="s">
        <v>25</v>
      </c>
      <c r="D203" s="7" t="str">
        <f t="shared" si="18"/>
        <v>教师岗</v>
      </c>
      <c r="E203" s="7" t="str">
        <f>"卓陈永"</f>
        <v>卓陈永</v>
      </c>
      <c r="F203" s="7" t="s">
        <v>9</v>
      </c>
      <c r="G203" s="7"/>
    </row>
    <row r="204" ht="18" customHeight="1" spans="1:7">
      <c r="A204" s="7">
        <v>202</v>
      </c>
      <c r="B204" s="7" t="str">
        <f t="shared" si="19"/>
        <v>0123</v>
      </c>
      <c r="C204" s="7" t="s">
        <v>25</v>
      </c>
      <c r="D204" s="7" t="str">
        <f t="shared" si="18"/>
        <v>教师岗</v>
      </c>
      <c r="E204" s="7" t="str">
        <f>"底兰兰"</f>
        <v>底兰兰</v>
      </c>
      <c r="F204" s="7" t="s">
        <v>9</v>
      </c>
      <c r="G204" s="7"/>
    </row>
    <row r="205" ht="18" customHeight="1" spans="1:7">
      <c r="A205" s="7">
        <v>203</v>
      </c>
      <c r="B205" s="7" t="str">
        <f t="shared" si="19"/>
        <v>0123</v>
      </c>
      <c r="C205" s="7" t="s">
        <v>25</v>
      </c>
      <c r="D205" s="7" t="str">
        <f t="shared" si="18"/>
        <v>教师岗</v>
      </c>
      <c r="E205" s="7" t="str">
        <f>"丘雪"</f>
        <v>丘雪</v>
      </c>
      <c r="F205" s="7" t="s">
        <v>9</v>
      </c>
      <c r="G205" s="7"/>
    </row>
    <row r="206" ht="18" customHeight="1" spans="1:7">
      <c r="A206" s="7">
        <v>204</v>
      </c>
      <c r="B206" s="7" t="str">
        <f t="shared" si="19"/>
        <v>0123</v>
      </c>
      <c r="C206" s="7" t="s">
        <v>25</v>
      </c>
      <c r="D206" s="7" t="str">
        <f t="shared" si="18"/>
        <v>教师岗</v>
      </c>
      <c r="E206" s="7" t="str">
        <f>"陈淑美"</f>
        <v>陈淑美</v>
      </c>
      <c r="F206" s="7" t="s">
        <v>9</v>
      </c>
      <c r="G206" s="7"/>
    </row>
    <row r="207" ht="18" customHeight="1" spans="1:7">
      <c r="A207" s="7">
        <v>205</v>
      </c>
      <c r="B207" s="7" t="str">
        <f t="shared" si="19"/>
        <v>0123</v>
      </c>
      <c r="C207" s="7" t="s">
        <v>25</v>
      </c>
      <c r="D207" s="7" t="str">
        <f t="shared" si="18"/>
        <v>教师岗</v>
      </c>
      <c r="E207" s="7" t="str">
        <f>"邵玉芬"</f>
        <v>邵玉芬</v>
      </c>
      <c r="F207" s="7" t="s">
        <v>9</v>
      </c>
      <c r="G207" s="7"/>
    </row>
    <row r="208" ht="18" customHeight="1" spans="1:7">
      <c r="A208" s="7">
        <v>206</v>
      </c>
      <c r="B208" s="7" t="str">
        <f t="shared" si="19"/>
        <v>0123</v>
      </c>
      <c r="C208" s="7" t="s">
        <v>25</v>
      </c>
      <c r="D208" s="7" t="str">
        <f t="shared" si="18"/>
        <v>教师岗</v>
      </c>
      <c r="E208" s="7" t="str">
        <f>"成央"</f>
        <v>成央</v>
      </c>
      <c r="F208" s="7" t="s">
        <v>9</v>
      </c>
      <c r="G208" s="7"/>
    </row>
    <row r="209" ht="18" customHeight="1" spans="1:7">
      <c r="A209" s="7">
        <v>207</v>
      </c>
      <c r="B209" s="7" t="str">
        <f>"0124"</f>
        <v>0124</v>
      </c>
      <c r="C209" s="7" t="s">
        <v>25</v>
      </c>
      <c r="D209" s="7" t="str">
        <f t="shared" si="18"/>
        <v>教师岗</v>
      </c>
      <c r="E209" s="7" t="str">
        <f>"钟春雨"</f>
        <v>钟春雨</v>
      </c>
      <c r="F209" s="7" t="s">
        <v>9</v>
      </c>
      <c r="G209" s="7"/>
    </row>
    <row r="210" ht="18" customHeight="1" spans="1:7">
      <c r="A210" s="7">
        <v>208</v>
      </c>
      <c r="B210" s="7" t="str">
        <f>"0124"</f>
        <v>0124</v>
      </c>
      <c r="C210" s="7" t="s">
        <v>25</v>
      </c>
      <c r="D210" s="7" t="str">
        <f t="shared" si="18"/>
        <v>教师岗</v>
      </c>
      <c r="E210" s="7" t="str">
        <f>"谢清"</f>
        <v>谢清</v>
      </c>
      <c r="F210" s="7" t="s">
        <v>9</v>
      </c>
      <c r="G210" s="7"/>
    </row>
    <row r="211" ht="18" customHeight="1" spans="1:7">
      <c r="A211" s="7">
        <v>209</v>
      </c>
      <c r="B211" s="7" t="str">
        <f>"0124"</f>
        <v>0124</v>
      </c>
      <c r="C211" s="7" t="s">
        <v>25</v>
      </c>
      <c r="D211" s="7" t="str">
        <f t="shared" si="18"/>
        <v>教师岗</v>
      </c>
      <c r="E211" s="7" t="str">
        <f>"沙家明"</f>
        <v>沙家明</v>
      </c>
      <c r="F211" s="7" t="s">
        <v>9</v>
      </c>
      <c r="G211" s="7"/>
    </row>
    <row r="212" ht="18" customHeight="1" spans="1:7">
      <c r="A212" s="7">
        <v>210</v>
      </c>
      <c r="B212" s="7" t="str">
        <f>"0124"</f>
        <v>0124</v>
      </c>
      <c r="C212" s="7" t="s">
        <v>25</v>
      </c>
      <c r="D212" s="7" t="str">
        <f t="shared" si="18"/>
        <v>教师岗</v>
      </c>
      <c r="E212" s="7" t="str">
        <f>"陈子澍"</f>
        <v>陈子澍</v>
      </c>
      <c r="F212" s="7" t="s">
        <v>9</v>
      </c>
      <c r="G212" s="7"/>
    </row>
    <row r="213" ht="18" customHeight="1" spans="1:7">
      <c r="A213" s="7">
        <v>211</v>
      </c>
      <c r="B213" s="7" t="str">
        <f>"0124"</f>
        <v>0124</v>
      </c>
      <c r="C213" s="7" t="s">
        <v>25</v>
      </c>
      <c r="D213" s="7" t="str">
        <f t="shared" si="18"/>
        <v>教师岗</v>
      </c>
      <c r="E213" s="7" t="str">
        <f>"张婷"</f>
        <v>张婷</v>
      </c>
      <c r="F213" s="7" t="s">
        <v>9</v>
      </c>
      <c r="G213" s="7"/>
    </row>
    <row r="214" ht="18" customHeight="1" spans="1:7">
      <c r="A214" s="7">
        <v>212</v>
      </c>
      <c r="B214" s="7" t="str">
        <f t="shared" ref="B214:B219" si="20">"0125"</f>
        <v>0125</v>
      </c>
      <c r="C214" s="7" t="s">
        <v>26</v>
      </c>
      <c r="D214" s="7" t="str">
        <f t="shared" si="18"/>
        <v>教师岗</v>
      </c>
      <c r="E214" s="9" t="str">
        <f>"李璐"</f>
        <v>李璐</v>
      </c>
      <c r="F214" s="7" t="s">
        <v>9</v>
      </c>
      <c r="G214" s="7" t="str">
        <f>"040164"</f>
        <v>040164</v>
      </c>
    </row>
    <row r="215" ht="18" customHeight="1" spans="1:7">
      <c r="A215" s="7">
        <v>213</v>
      </c>
      <c r="B215" s="7" t="str">
        <f t="shared" si="20"/>
        <v>0125</v>
      </c>
      <c r="C215" s="7" t="s">
        <v>26</v>
      </c>
      <c r="D215" s="7" t="str">
        <f t="shared" si="18"/>
        <v>教师岗</v>
      </c>
      <c r="E215" s="7" t="str">
        <f>"商婧"</f>
        <v>商婧</v>
      </c>
      <c r="F215" s="7" t="s">
        <v>9</v>
      </c>
      <c r="G215" s="7"/>
    </row>
    <row r="216" ht="18" customHeight="1" spans="1:7">
      <c r="A216" s="7">
        <v>214</v>
      </c>
      <c r="B216" s="7" t="str">
        <f t="shared" si="20"/>
        <v>0125</v>
      </c>
      <c r="C216" s="7" t="s">
        <v>26</v>
      </c>
      <c r="D216" s="7" t="str">
        <f t="shared" si="18"/>
        <v>教师岗</v>
      </c>
      <c r="E216" s="7" t="str">
        <f>"李桂娇"</f>
        <v>李桂娇</v>
      </c>
      <c r="F216" s="7" t="s">
        <v>9</v>
      </c>
      <c r="G216" s="7"/>
    </row>
    <row r="217" ht="18" customHeight="1" spans="1:7">
      <c r="A217" s="7">
        <v>215</v>
      </c>
      <c r="B217" s="7" t="str">
        <f t="shared" si="20"/>
        <v>0125</v>
      </c>
      <c r="C217" s="7" t="s">
        <v>26</v>
      </c>
      <c r="D217" s="7" t="str">
        <f t="shared" si="18"/>
        <v>教师岗</v>
      </c>
      <c r="E217" s="7" t="str">
        <f>"刘佳坤"</f>
        <v>刘佳坤</v>
      </c>
      <c r="F217" s="7" t="s">
        <v>9</v>
      </c>
      <c r="G217" s="7"/>
    </row>
    <row r="218" ht="18" customHeight="1" spans="1:7">
      <c r="A218" s="7">
        <v>216</v>
      </c>
      <c r="B218" s="7" t="str">
        <f t="shared" si="20"/>
        <v>0125</v>
      </c>
      <c r="C218" s="7" t="s">
        <v>26</v>
      </c>
      <c r="D218" s="7" t="str">
        <f t="shared" si="18"/>
        <v>教师岗</v>
      </c>
      <c r="E218" s="7" t="str">
        <f>"贾敏"</f>
        <v>贾敏</v>
      </c>
      <c r="F218" s="7" t="s">
        <v>9</v>
      </c>
      <c r="G218" s="7"/>
    </row>
    <row r="219" ht="18" customHeight="1" spans="1:7">
      <c r="A219" s="7">
        <v>217</v>
      </c>
      <c r="B219" s="7" t="str">
        <f t="shared" si="20"/>
        <v>0125</v>
      </c>
      <c r="C219" s="7" t="s">
        <v>26</v>
      </c>
      <c r="D219" s="7" t="str">
        <f t="shared" si="18"/>
        <v>教师岗</v>
      </c>
      <c r="E219" s="7" t="str">
        <f>"耿舒心"</f>
        <v>耿舒心</v>
      </c>
      <c r="F219" s="7" t="s">
        <v>9</v>
      </c>
      <c r="G219" s="7"/>
    </row>
    <row r="220" ht="18" customHeight="1" spans="1:7">
      <c r="A220" s="7">
        <v>218</v>
      </c>
      <c r="B220" s="7" t="str">
        <f>"0126"</f>
        <v>0126</v>
      </c>
      <c r="C220" s="7" t="s">
        <v>27</v>
      </c>
      <c r="D220" s="7" t="str">
        <f t="shared" si="18"/>
        <v>教师岗</v>
      </c>
      <c r="E220" s="7" t="str">
        <f>"田颖华"</f>
        <v>田颖华</v>
      </c>
      <c r="F220" s="7" t="s">
        <v>9</v>
      </c>
      <c r="G220" s="7"/>
    </row>
    <row r="221" ht="18" customHeight="1" spans="1:7">
      <c r="A221" s="7">
        <v>219</v>
      </c>
      <c r="B221" s="7" t="str">
        <f>"0126"</f>
        <v>0126</v>
      </c>
      <c r="C221" s="7" t="s">
        <v>27</v>
      </c>
      <c r="D221" s="7" t="str">
        <f t="shared" si="18"/>
        <v>教师岗</v>
      </c>
      <c r="E221" s="7" t="str">
        <f>"赵嘉伟"</f>
        <v>赵嘉伟</v>
      </c>
      <c r="F221" s="7" t="s">
        <v>9</v>
      </c>
      <c r="G221" s="7"/>
    </row>
    <row r="222" ht="18" customHeight="1" spans="1:7">
      <c r="A222" s="7">
        <v>220</v>
      </c>
      <c r="B222" s="7" t="str">
        <f>"0126"</f>
        <v>0126</v>
      </c>
      <c r="C222" s="7" t="s">
        <v>27</v>
      </c>
      <c r="D222" s="7" t="str">
        <f t="shared" si="18"/>
        <v>教师岗</v>
      </c>
      <c r="E222" s="7" t="str">
        <f>"刘沐垚"</f>
        <v>刘沐垚</v>
      </c>
      <c r="F222" s="7" t="s">
        <v>9</v>
      </c>
      <c r="G222" s="7"/>
    </row>
    <row r="223" ht="18" customHeight="1" spans="1:7">
      <c r="A223" s="7">
        <v>221</v>
      </c>
      <c r="B223" s="7" t="str">
        <f t="shared" ref="B223:B240" si="21">"0127"</f>
        <v>0127</v>
      </c>
      <c r="C223" s="7" t="s">
        <v>28</v>
      </c>
      <c r="D223" s="7" t="str">
        <f t="shared" si="18"/>
        <v>教师岗</v>
      </c>
      <c r="E223" s="7" t="str">
        <f>"符畅"</f>
        <v>符畅</v>
      </c>
      <c r="F223" s="7" t="s">
        <v>9</v>
      </c>
      <c r="G223" s="7"/>
    </row>
    <row r="224" ht="18" customHeight="1" spans="1:7">
      <c r="A224" s="7">
        <v>222</v>
      </c>
      <c r="B224" s="7" t="str">
        <f t="shared" si="21"/>
        <v>0127</v>
      </c>
      <c r="C224" s="7" t="s">
        <v>28</v>
      </c>
      <c r="D224" s="7" t="str">
        <f t="shared" si="18"/>
        <v>教师岗</v>
      </c>
      <c r="E224" s="7" t="str">
        <f>"栗佳欣"</f>
        <v>栗佳欣</v>
      </c>
      <c r="F224" s="7" t="s">
        <v>9</v>
      </c>
      <c r="G224" s="7"/>
    </row>
    <row r="225" ht="18" customHeight="1" spans="1:7">
      <c r="A225" s="7">
        <v>223</v>
      </c>
      <c r="B225" s="7" t="str">
        <f t="shared" si="21"/>
        <v>0127</v>
      </c>
      <c r="C225" s="7" t="s">
        <v>28</v>
      </c>
      <c r="D225" s="7" t="str">
        <f t="shared" si="18"/>
        <v>教师岗</v>
      </c>
      <c r="E225" s="7" t="str">
        <f>"孙雨欣"</f>
        <v>孙雨欣</v>
      </c>
      <c r="F225" s="7" t="s">
        <v>9</v>
      </c>
      <c r="G225" s="7"/>
    </row>
    <row r="226" ht="18" customHeight="1" spans="1:7">
      <c r="A226" s="7">
        <v>224</v>
      </c>
      <c r="B226" s="7" t="str">
        <f t="shared" si="21"/>
        <v>0127</v>
      </c>
      <c r="C226" s="7" t="s">
        <v>28</v>
      </c>
      <c r="D226" s="7" t="str">
        <f t="shared" si="18"/>
        <v>教师岗</v>
      </c>
      <c r="E226" s="7" t="str">
        <f>"李子玮"</f>
        <v>李子玮</v>
      </c>
      <c r="F226" s="7" t="s">
        <v>9</v>
      </c>
      <c r="G226" s="7"/>
    </row>
    <row r="227" ht="18" customHeight="1" spans="1:7">
      <c r="A227" s="7">
        <v>225</v>
      </c>
      <c r="B227" s="7" t="str">
        <f t="shared" si="21"/>
        <v>0127</v>
      </c>
      <c r="C227" s="7" t="s">
        <v>28</v>
      </c>
      <c r="D227" s="7" t="str">
        <f t="shared" si="18"/>
        <v>教师岗</v>
      </c>
      <c r="E227" s="7" t="str">
        <f>"肖沙沙"</f>
        <v>肖沙沙</v>
      </c>
      <c r="F227" s="7" t="s">
        <v>9</v>
      </c>
      <c r="G227" s="7"/>
    </row>
    <row r="228" ht="18" customHeight="1" spans="1:7">
      <c r="A228" s="7">
        <v>226</v>
      </c>
      <c r="B228" s="7" t="str">
        <f t="shared" si="21"/>
        <v>0127</v>
      </c>
      <c r="C228" s="7" t="s">
        <v>28</v>
      </c>
      <c r="D228" s="7" t="str">
        <f t="shared" si="18"/>
        <v>教师岗</v>
      </c>
      <c r="E228" s="7" t="str">
        <f>"胡海琪"</f>
        <v>胡海琪</v>
      </c>
      <c r="F228" s="7" t="s">
        <v>9</v>
      </c>
      <c r="G228" s="7"/>
    </row>
    <row r="229" ht="18" customHeight="1" spans="1:7">
      <c r="A229" s="7">
        <v>227</v>
      </c>
      <c r="B229" s="7" t="str">
        <f t="shared" si="21"/>
        <v>0127</v>
      </c>
      <c r="C229" s="7" t="s">
        <v>28</v>
      </c>
      <c r="D229" s="7" t="str">
        <f t="shared" si="18"/>
        <v>教师岗</v>
      </c>
      <c r="E229" s="7" t="str">
        <f>"徐兴朔"</f>
        <v>徐兴朔</v>
      </c>
      <c r="F229" s="7" t="s">
        <v>9</v>
      </c>
      <c r="G229" s="7"/>
    </row>
    <row r="230" ht="18" customHeight="1" spans="1:7">
      <c r="A230" s="7">
        <v>228</v>
      </c>
      <c r="B230" s="7" t="str">
        <f t="shared" si="21"/>
        <v>0127</v>
      </c>
      <c r="C230" s="7" t="s">
        <v>28</v>
      </c>
      <c r="D230" s="7" t="str">
        <f t="shared" si="18"/>
        <v>教师岗</v>
      </c>
      <c r="E230" s="7" t="str">
        <f>"吴丹"</f>
        <v>吴丹</v>
      </c>
      <c r="F230" s="7" t="s">
        <v>9</v>
      </c>
      <c r="G230" s="7"/>
    </row>
    <row r="231" ht="18" customHeight="1" spans="1:7">
      <c r="A231" s="7">
        <v>229</v>
      </c>
      <c r="B231" s="7" t="str">
        <f t="shared" si="21"/>
        <v>0127</v>
      </c>
      <c r="C231" s="7" t="s">
        <v>28</v>
      </c>
      <c r="D231" s="7" t="str">
        <f t="shared" si="18"/>
        <v>教师岗</v>
      </c>
      <c r="E231" s="7" t="str">
        <f>"崔勇钦"</f>
        <v>崔勇钦</v>
      </c>
      <c r="F231" s="7" t="s">
        <v>9</v>
      </c>
      <c r="G231" s="7"/>
    </row>
    <row r="232" ht="18" customHeight="1" spans="1:7">
      <c r="A232" s="7">
        <v>230</v>
      </c>
      <c r="B232" s="7" t="str">
        <f t="shared" si="21"/>
        <v>0127</v>
      </c>
      <c r="C232" s="7" t="s">
        <v>28</v>
      </c>
      <c r="D232" s="7" t="str">
        <f t="shared" si="18"/>
        <v>教师岗</v>
      </c>
      <c r="E232" s="7" t="str">
        <f>"郑璇颖"</f>
        <v>郑璇颖</v>
      </c>
      <c r="F232" s="7" t="s">
        <v>9</v>
      </c>
      <c r="G232" s="7"/>
    </row>
    <row r="233" ht="18" customHeight="1" spans="1:7">
      <c r="A233" s="7">
        <v>231</v>
      </c>
      <c r="B233" s="7" t="str">
        <f t="shared" si="21"/>
        <v>0127</v>
      </c>
      <c r="C233" s="7" t="s">
        <v>28</v>
      </c>
      <c r="D233" s="7" t="str">
        <f t="shared" si="18"/>
        <v>教师岗</v>
      </c>
      <c r="E233" s="7" t="str">
        <f>"王渝萱"</f>
        <v>王渝萱</v>
      </c>
      <c r="F233" s="7" t="s">
        <v>9</v>
      </c>
      <c r="G233" s="7"/>
    </row>
    <row r="234" ht="18" customHeight="1" spans="1:7">
      <c r="A234" s="7">
        <v>232</v>
      </c>
      <c r="B234" s="7" t="str">
        <f t="shared" si="21"/>
        <v>0127</v>
      </c>
      <c r="C234" s="7" t="s">
        <v>28</v>
      </c>
      <c r="D234" s="7" t="str">
        <f t="shared" si="18"/>
        <v>教师岗</v>
      </c>
      <c r="E234" s="7" t="str">
        <f>"夏文帅"</f>
        <v>夏文帅</v>
      </c>
      <c r="F234" s="7" t="s">
        <v>9</v>
      </c>
      <c r="G234" s="7"/>
    </row>
    <row r="235" ht="18" customHeight="1" spans="1:7">
      <c r="A235" s="7">
        <v>233</v>
      </c>
      <c r="B235" s="7" t="str">
        <f t="shared" si="21"/>
        <v>0127</v>
      </c>
      <c r="C235" s="7" t="s">
        <v>28</v>
      </c>
      <c r="D235" s="7" t="str">
        <f t="shared" si="18"/>
        <v>教师岗</v>
      </c>
      <c r="E235" s="7" t="str">
        <f>"林先宏"</f>
        <v>林先宏</v>
      </c>
      <c r="F235" s="7" t="s">
        <v>9</v>
      </c>
      <c r="G235" s="7"/>
    </row>
    <row r="236" ht="18" customHeight="1" spans="1:7">
      <c r="A236" s="7">
        <v>234</v>
      </c>
      <c r="B236" s="7" t="str">
        <f t="shared" si="21"/>
        <v>0127</v>
      </c>
      <c r="C236" s="7" t="s">
        <v>28</v>
      </c>
      <c r="D236" s="7" t="str">
        <f t="shared" si="18"/>
        <v>教师岗</v>
      </c>
      <c r="E236" s="7" t="str">
        <f>"陈俊"</f>
        <v>陈俊</v>
      </c>
      <c r="F236" s="7" t="s">
        <v>9</v>
      </c>
      <c r="G236" s="7"/>
    </row>
    <row r="237" ht="18" customHeight="1" spans="1:7">
      <c r="A237" s="7">
        <v>235</v>
      </c>
      <c r="B237" s="7" t="str">
        <f t="shared" si="21"/>
        <v>0127</v>
      </c>
      <c r="C237" s="7" t="s">
        <v>28</v>
      </c>
      <c r="D237" s="7" t="str">
        <f t="shared" si="18"/>
        <v>教师岗</v>
      </c>
      <c r="E237" s="7" t="str">
        <f>"汤菊"</f>
        <v>汤菊</v>
      </c>
      <c r="F237" s="7" t="s">
        <v>9</v>
      </c>
      <c r="G237" s="7"/>
    </row>
    <row r="238" ht="18" customHeight="1" spans="1:7">
      <c r="A238" s="7">
        <v>236</v>
      </c>
      <c r="B238" s="7" t="str">
        <f t="shared" si="21"/>
        <v>0127</v>
      </c>
      <c r="C238" s="7" t="s">
        <v>28</v>
      </c>
      <c r="D238" s="7" t="str">
        <f t="shared" si="18"/>
        <v>教师岗</v>
      </c>
      <c r="E238" s="7" t="str">
        <f>"王銮凤"</f>
        <v>王銮凤</v>
      </c>
      <c r="F238" s="7" t="s">
        <v>9</v>
      </c>
      <c r="G238" s="7"/>
    </row>
    <row r="239" ht="18" customHeight="1" spans="1:7">
      <c r="A239" s="7">
        <v>237</v>
      </c>
      <c r="B239" s="7" t="str">
        <f t="shared" si="21"/>
        <v>0127</v>
      </c>
      <c r="C239" s="7" t="s">
        <v>28</v>
      </c>
      <c r="D239" s="7" t="str">
        <f t="shared" si="18"/>
        <v>教师岗</v>
      </c>
      <c r="E239" s="7" t="str">
        <f>"迟博文"</f>
        <v>迟博文</v>
      </c>
      <c r="F239" s="7" t="s">
        <v>9</v>
      </c>
      <c r="G239" s="7"/>
    </row>
    <row r="240" ht="18" customHeight="1" spans="1:7">
      <c r="A240" s="7">
        <v>238</v>
      </c>
      <c r="B240" s="7" t="str">
        <f t="shared" si="21"/>
        <v>0127</v>
      </c>
      <c r="C240" s="7" t="s">
        <v>28</v>
      </c>
      <c r="D240" s="7" t="str">
        <f t="shared" si="18"/>
        <v>教师岗</v>
      </c>
      <c r="E240" s="7" t="str">
        <f>"段磊"</f>
        <v>段磊</v>
      </c>
      <c r="F240" s="7" t="s">
        <v>9</v>
      </c>
      <c r="G240" s="7"/>
    </row>
    <row r="241" ht="18" customHeight="1" spans="1:7">
      <c r="A241" s="7">
        <v>239</v>
      </c>
      <c r="B241" s="7" t="str">
        <f t="shared" ref="B241:B255" si="22">"0128"</f>
        <v>0128</v>
      </c>
      <c r="C241" s="7" t="s">
        <v>28</v>
      </c>
      <c r="D241" s="7" t="str">
        <f t="shared" si="18"/>
        <v>教师岗</v>
      </c>
      <c r="E241" s="7" t="str">
        <f>"李双花"</f>
        <v>李双花</v>
      </c>
      <c r="F241" s="7" t="s">
        <v>9</v>
      </c>
      <c r="G241" s="7"/>
    </row>
    <row r="242" ht="18" customHeight="1" spans="1:7">
      <c r="A242" s="7">
        <v>240</v>
      </c>
      <c r="B242" s="7" t="str">
        <f t="shared" si="22"/>
        <v>0128</v>
      </c>
      <c r="C242" s="7" t="s">
        <v>28</v>
      </c>
      <c r="D242" s="7" t="str">
        <f t="shared" si="18"/>
        <v>教师岗</v>
      </c>
      <c r="E242" s="7" t="str">
        <f>"唐雯琪"</f>
        <v>唐雯琪</v>
      </c>
      <c r="F242" s="7" t="s">
        <v>9</v>
      </c>
      <c r="G242" s="7"/>
    </row>
    <row r="243" ht="18" customHeight="1" spans="1:7">
      <c r="A243" s="7">
        <v>241</v>
      </c>
      <c r="B243" s="7" t="str">
        <f t="shared" si="22"/>
        <v>0128</v>
      </c>
      <c r="C243" s="7" t="s">
        <v>28</v>
      </c>
      <c r="D243" s="7" t="str">
        <f t="shared" si="18"/>
        <v>教师岗</v>
      </c>
      <c r="E243" s="7" t="str">
        <f>"王丹阳"</f>
        <v>王丹阳</v>
      </c>
      <c r="F243" s="7" t="s">
        <v>9</v>
      </c>
      <c r="G243" s="7"/>
    </row>
    <row r="244" ht="18" customHeight="1" spans="1:7">
      <c r="A244" s="7">
        <v>242</v>
      </c>
      <c r="B244" s="7" t="str">
        <f t="shared" si="22"/>
        <v>0128</v>
      </c>
      <c r="C244" s="7" t="s">
        <v>28</v>
      </c>
      <c r="D244" s="7" t="str">
        <f t="shared" si="18"/>
        <v>教师岗</v>
      </c>
      <c r="E244" s="7" t="str">
        <f>"刘军"</f>
        <v>刘军</v>
      </c>
      <c r="F244" s="7" t="s">
        <v>9</v>
      </c>
      <c r="G244" s="7"/>
    </row>
    <row r="245" ht="18" customHeight="1" spans="1:7">
      <c r="A245" s="7">
        <v>243</v>
      </c>
      <c r="B245" s="7" t="str">
        <f t="shared" si="22"/>
        <v>0128</v>
      </c>
      <c r="C245" s="7" t="s">
        <v>28</v>
      </c>
      <c r="D245" s="7" t="str">
        <f t="shared" si="18"/>
        <v>教师岗</v>
      </c>
      <c r="E245" s="7" t="str">
        <f>"王睿"</f>
        <v>王睿</v>
      </c>
      <c r="F245" s="7" t="s">
        <v>9</v>
      </c>
      <c r="G245" s="7"/>
    </row>
    <row r="246" ht="18" customHeight="1" spans="1:7">
      <c r="A246" s="7">
        <v>244</v>
      </c>
      <c r="B246" s="7" t="str">
        <f t="shared" si="22"/>
        <v>0128</v>
      </c>
      <c r="C246" s="7" t="s">
        <v>28</v>
      </c>
      <c r="D246" s="7" t="str">
        <f t="shared" si="18"/>
        <v>教师岗</v>
      </c>
      <c r="E246" s="7" t="str">
        <f>"刘圣洁"</f>
        <v>刘圣洁</v>
      </c>
      <c r="F246" s="7" t="s">
        <v>9</v>
      </c>
      <c r="G246" s="7"/>
    </row>
    <row r="247" ht="18" customHeight="1" spans="1:7">
      <c r="A247" s="7">
        <v>245</v>
      </c>
      <c r="B247" s="7" t="str">
        <f t="shared" si="22"/>
        <v>0128</v>
      </c>
      <c r="C247" s="7" t="s">
        <v>28</v>
      </c>
      <c r="D247" s="7" t="str">
        <f t="shared" si="18"/>
        <v>教师岗</v>
      </c>
      <c r="E247" s="7" t="str">
        <f>"李国伟"</f>
        <v>李国伟</v>
      </c>
      <c r="F247" s="7" t="s">
        <v>9</v>
      </c>
      <c r="G247" s="7"/>
    </row>
    <row r="248" ht="18" customHeight="1" spans="1:7">
      <c r="A248" s="7">
        <v>246</v>
      </c>
      <c r="B248" s="7" t="str">
        <f t="shared" si="22"/>
        <v>0128</v>
      </c>
      <c r="C248" s="7" t="s">
        <v>28</v>
      </c>
      <c r="D248" s="7" t="str">
        <f t="shared" si="18"/>
        <v>教师岗</v>
      </c>
      <c r="E248" s="7" t="str">
        <f>"万佳佳"</f>
        <v>万佳佳</v>
      </c>
      <c r="F248" s="7" t="s">
        <v>9</v>
      </c>
      <c r="G248" s="7"/>
    </row>
    <row r="249" ht="18" customHeight="1" spans="1:7">
      <c r="A249" s="7">
        <v>247</v>
      </c>
      <c r="B249" s="7" t="str">
        <f t="shared" si="22"/>
        <v>0128</v>
      </c>
      <c r="C249" s="7" t="s">
        <v>28</v>
      </c>
      <c r="D249" s="7" t="str">
        <f t="shared" si="18"/>
        <v>教师岗</v>
      </c>
      <c r="E249" s="7" t="str">
        <f>"姜琳"</f>
        <v>姜琳</v>
      </c>
      <c r="F249" s="7" t="s">
        <v>9</v>
      </c>
      <c r="G249" s="7"/>
    </row>
    <row r="250" ht="18" customHeight="1" spans="1:7">
      <c r="A250" s="7">
        <v>248</v>
      </c>
      <c r="B250" s="7" t="str">
        <f t="shared" si="22"/>
        <v>0128</v>
      </c>
      <c r="C250" s="7" t="s">
        <v>28</v>
      </c>
      <c r="D250" s="7" t="str">
        <f t="shared" si="18"/>
        <v>教师岗</v>
      </c>
      <c r="E250" s="7" t="str">
        <f>"孙家滢"</f>
        <v>孙家滢</v>
      </c>
      <c r="F250" s="7" t="s">
        <v>9</v>
      </c>
      <c r="G250" s="7"/>
    </row>
    <row r="251" ht="18" customHeight="1" spans="1:7">
      <c r="A251" s="7">
        <v>249</v>
      </c>
      <c r="B251" s="7" t="str">
        <f t="shared" si="22"/>
        <v>0128</v>
      </c>
      <c r="C251" s="7" t="s">
        <v>28</v>
      </c>
      <c r="D251" s="7" t="str">
        <f t="shared" si="18"/>
        <v>教师岗</v>
      </c>
      <c r="E251" s="7" t="str">
        <f>"于欢"</f>
        <v>于欢</v>
      </c>
      <c r="F251" s="7" t="s">
        <v>9</v>
      </c>
      <c r="G251" s="7"/>
    </row>
    <row r="252" ht="18" customHeight="1" spans="1:7">
      <c r="A252" s="7">
        <v>250</v>
      </c>
      <c r="B252" s="7" t="str">
        <f t="shared" si="22"/>
        <v>0128</v>
      </c>
      <c r="C252" s="7" t="s">
        <v>28</v>
      </c>
      <c r="D252" s="7" t="str">
        <f t="shared" ref="D252:D315" si="23">"教师岗"</f>
        <v>教师岗</v>
      </c>
      <c r="E252" s="7" t="str">
        <f>"邓喜真"</f>
        <v>邓喜真</v>
      </c>
      <c r="F252" s="7" t="s">
        <v>9</v>
      </c>
      <c r="G252" s="7"/>
    </row>
    <row r="253" ht="18" customHeight="1" spans="1:7">
      <c r="A253" s="7">
        <v>251</v>
      </c>
      <c r="B253" s="7" t="str">
        <f t="shared" si="22"/>
        <v>0128</v>
      </c>
      <c r="C253" s="7" t="s">
        <v>28</v>
      </c>
      <c r="D253" s="7" t="str">
        <f t="shared" si="23"/>
        <v>教师岗</v>
      </c>
      <c r="E253" s="7" t="str">
        <f>"陶然"</f>
        <v>陶然</v>
      </c>
      <c r="F253" s="7" t="s">
        <v>9</v>
      </c>
      <c r="G253" s="7"/>
    </row>
    <row r="254" ht="18" customHeight="1" spans="1:7">
      <c r="A254" s="7">
        <v>252</v>
      </c>
      <c r="B254" s="7" t="str">
        <f t="shared" si="22"/>
        <v>0128</v>
      </c>
      <c r="C254" s="7" t="s">
        <v>28</v>
      </c>
      <c r="D254" s="7" t="str">
        <f t="shared" si="23"/>
        <v>教师岗</v>
      </c>
      <c r="E254" s="7" t="str">
        <f>"王晓辉"</f>
        <v>王晓辉</v>
      </c>
      <c r="F254" s="7" t="s">
        <v>9</v>
      </c>
      <c r="G254" s="7"/>
    </row>
    <row r="255" ht="18" customHeight="1" spans="1:7">
      <c r="A255" s="7">
        <v>253</v>
      </c>
      <c r="B255" s="7" t="str">
        <f t="shared" si="22"/>
        <v>0128</v>
      </c>
      <c r="C255" s="7" t="s">
        <v>28</v>
      </c>
      <c r="D255" s="7" t="str">
        <f t="shared" si="23"/>
        <v>教师岗</v>
      </c>
      <c r="E255" s="9" t="str">
        <f>"张雨"</f>
        <v>张雨</v>
      </c>
      <c r="F255" s="7" t="s">
        <v>9</v>
      </c>
      <c r="G255" s="7" t="str">
        <f>"040827"</f>
        <v>040827</v>
      </c>
    </row>
    <row r="256" ht="18" customHeight="1" spans="1:7">
      <c r="A256" s="7">
        <v>254</v>
      </c>
      <c r="B256" s="7" t="str">
        <f t="shared" ref="B256:B267" si="24">"0129"</f>
        <v>0129</v>
      </c>
      <c r="C256" s="7" t="s">
        <v>29</v>
      </c>
      <c r="D256" s="7" t="str">
        <f t="shared" si="23"/>
        <v>教师岗</v>
      </c>
      <c r="E256" s="7" t="str">
        <f>"贾雪东"</f>
        <v>贾雪东</v>
      </c>
      <c r="F256" s="7" t="s">
        <v>9</v>
      </c>
      <c r="G256" s="7"/>
    </row>
    <row r="257" ht="18" customHeight="1" spans="1:7">
      <c r="A257" s="7">
        <v>255</v>
      </c>
      <c r="B257" s="7" t="str">
        <f t="shared" si="24"/>
        <v>0129</v>
      </c>
      <c r="C257" s="7" t="s">
        <v>29</v>
      </c>
      <c r="D257" s="7" t="str">
        <f t="shared" si="23"/>
        <v>教师岗</v>
      </c>
      <c r="E257" s="7" t="str">
        <f>"符卓波"</f>
        <v>符卓波</v>
      </c>
      <c r="F257" s="7" t="s">
        <v>9</v>
      </c>
      <c r="G257" s="7"/>
    </row>
    <row r="258" ht="18" customHeight="1" spans="1:7">
      <c r="A258" s="7">
        <v>256</v>
      </c>
      <c r="B258" s="7" t="str">
        <f t="shared" si="24"/>
        <v>0129</v>
      </c>
      <c r="C258" s="7" t="s">
        <v>29</v>
      </c>
      <c r="D258" s="7" t="str">
        <f t="shared" si="23"/>
        <v>教师岗</v>
      </c>
      <c r="E258" s="7" t="str">
        <f>"张靖"</f>
        <v>张靖</v>
      </c>
      <c r="F258" s="7" t="s">
        <v>9</v>
      </c>
      <c r="G258" s="7"/>
    </row>
    <row r="259" ht="18" customHeight="1" spans="1:7">
      <c r="A259" s="7">
        <v>257</v>
      </c>
      <c r="B259" s="7" t="str">
        <f t="shared" si="24"/>
        <v>0129</v>
      </c>
      <c r="C259" s="7" t="s">
        <v>29</v>
      </c>
      <c r="D259" s="7" t="str">
        <f t="shared" si="23"/>
        <v>教师岗</v>
      </c>
      <c r="E259" s="7" t="str">
        <f>"万方妹"</f>
        <v>万方妹</v>
      </c>
      <c r="F259" s="7" t="s">
        <v>9</v>
      </c>
      <c r="G259" s="7"/>
    </row>
    <row r="260" ht="18" customHeight="1" spans="1:7">
      <c r="A260" s="7">
        <v>258</v>
      </c>
      <c r="B260" s="7" t="str">
        <f t="shared" si="24"/>
        <v>0129</v>
      </c>
      <c r="C260" s="7" t="s">
        <v>29</v>
      </c>
      <c r="D260" s="7" t="str">
        <f t="shared" si="23"/>
        <v>教师岗</v>
      </c>
      <c r="E260" s="7" t="str">
        <f>"谈玉欣"</f>
        <v>谈玉欣</v>
      </c>
      <c r="F260" s="7" t="s">
        <v>9</v>
      </c>
      <c r="G260" s="7"/>
    </row>
    <row r="261" ht="18" customHeight="1" spans="1:7">
      <c r="A261" s="7">
        <v>259</v>
      </c>
      <c r="B261" s="7" t="str">
        <f t="shared" si="24"/>
        <v>0129</v>
      </c>
      <c r="C261" s="7" t="s">
        <v>29</v>
      </c>
      <c r="D261" s="7" t="str">
        <f t="shared" si="23"/>
        <v>教师岗</v>
      </c>
      <c r="E261" s="7" t="str">
        <f>"程锡海"</f>
        <v>程锡海</v>
      </c>
      <c r="F261" s="7" t="s">
        <v>9</v>
      </c>
      <c r="G261" s="7"/>
    </row>
    <row r="262" ht="18" customHeight="1" spans="1:7">
      <c r="A262" s="7">
        <v>260</v>
      </c>
      <c r="B262" s="7" t="str">
        <f t="shared" si="24"/>
        <v>0129</v>
      </c>
      <c r="C262" s="7" t="s">
        <v>29</v>
      </c>
      <c r="D262" s="7" t="str">
        <f t="shared" si="23"/>
        <v>教师岗</v>
      </c>
      <c r="E262" s="7" t="str">
        <f>"李昭霖"</f>
        <v>李昭霖</v>
      </c>
      <c r="F262" s="7" t="s">
        <v>9</v>
      </c>
      <c r="G262" s="7"/>
    </row>
    <row r="263" ht="18" customHeight="1" spans="1:7">
      <c r="A263" s="7">
        <v>261</v>
      </c>
      <c r="B263" s="7" t="str">
        <f t="shared" si="24"/>
        <v>0129</v>
      </c>
      <c r="C263" s="7" t="s">
        <v>29</v>
      </c>
      <c r="D263" s="7" t="str">
        <f t="shared" si="23"/>
        <v>教师岗</v>
      </c>
      <c r="E263" s="7" t="str">
        <f>"暴学宁"</f>
        <v>暴学宁</v>
      </c>
      <c r="F263" s="7" t="s">
        <v>9</v>
      </c>
      <c r="G263" s="7"/>
    </row>
    <row r="264" ht="18" customHeight="1" spans="1:7">
      <c r="A264" s="7">
        <v>262</v>
      </c>
      <c r="B264" s="7" t="str">
        <f t="shared" si="24"/>
        <v>0129</v>
      </c>
      <c r="C264" s="7" t="s">
        <v>29</v>
      </c>
      <c r="D264" s="7" t="str">
        <f t="shared" si="23"/>
        <v>教师岗</v>
      </c>
      <c r="E264" s="7" t="str">
        <f>"黄沉香"</f>
        <v>黄沉香</v>
      </c>
      <c r="F264" s="7" t="s">
        <v>9</v>
      </c>
      <c r="G264" s="7"/>
    </row>
    <row r="265" ht="18" customHeight="1" spans="1:7">
      <c r="A265" s="7">
        <v>263</v>
      </c>
      <c r="B265" s="7" t="str">
        <f t="shared" si="24"/>
        <v>0129</v>
      </c>
      <c r="C265" s="7" t="s">
        <v>29</v>
      </c>
      <c r="D265" s="7" t="str">
        <f t="shared" si="23"/>
        <v>教师岗</v>
      </c>
      <c r="E265" s="7" t="str">
        <f>"周雁琳"</f>
        <v>周雁琳</v>
      </c>
      <c r="F265" s="7" t="s">
        <v>9</v>
      </c>
      <c r="G265" s="7"/>
    </row>
    <row r="266" ht="18" customHeight="1" spans="1:7">
      <c r="A266" s="7">
        <v>264</v>
      </c>
      <c r="B266" s="7" t="str">
        <f t="shared" si="24"/>
        <v>0129</v>
      </c>
      <c r="C266" s="7" t="s">
        <v>29</v>
      </c>
      <c r="D266" s="7" t="str">
        <f t="shared" si="23"/>
        <v>教师岗</v>
      </c>
      <c r="E266" s="7" t="str">
        <f>"蔡雅敏"</f>
        <v>蔡雅敏</v>
      </c>
      <c r="F266" s="7" t="s">
        <v>9</v>
      </c>
      <c r="G266" s="7"/>
    </row>
    <row r="267" ht="18" customHeight="1" spans="1:7">
      <c r="A267" s="7">
        <v>265</v>
      </c>
      <c r="B267" s="7" t="str">
        <f t="shared" si="24"/>
        <v>0129</v>
      </c>
      <c r="C267" s="7" t="s">
        <v>29</v>
      </c>
      <c r="D267" s="7" t="str">
        <f t="shared" si="23"/>
        <v>教师岗</v>
      </c>
      <c r="E267" s="7" t="str">
        <f>"覃海霞"</f>
        <v>覃海霞</v>
      </c>
      <c r="F267" s="7" t="s">
        <v>9</v>
      </c>
      <c r="G267" s="7"/>
    </row>
    <row r="268" ht="18" customHeight="1" spans="1:7">
      <c r="A268" s="7">
        <v>266</v>
      </c>
      <c r="B268" s="7" t="str">
        <f t="shared" ref="B268:B276" si="25">"0130"</f>
        <v>0130</v>
      </c>
      <c r="C268" s="7" t="s">
        <v>29</v>
      </c>
      <c r="D268" s="7" t="str">
        <f t="shared" si="23"/>
        <v>教师岗</v>
      </c>
      <c r="E268" s="7" t="str">
        <f>"丁梦豪"</f>
        <v>丁梦豪</v>
      </c>
      <c r="F268" s="7" t="s">
        <v>9</v>
      </c>
      <c r="G268" s="7"/>
    </row>
    <row r="269" ht="18" customHeight="1" spans="1:7">
      <c r="A269" s="7">
        <v>267</v>
      </c>
      <c r="B269" s="7" t="str">
        <f t="shared" si="25"/>
        <v>0130</v>
      </c>
      <c r="C269" s="7" t="s">
        <v>29</v>
      </c>
      <c r="D269" s="7" t="str">
        <f t="shared" si="23"/>
        <v>教师岗</v>
      </c>
      <c r="E269" s="7" t="str">
        <f>"熊广友"</f>
        <v>熊广友</v>
      </c>
      <c r="F269" s="7" t="s">
        <v>9</v>
      </c>
      <c r="G269" s="7"/>
    </row>
    <row r="270" ht="18" customHeight="1" spans="1:7">
      <c r="A270" s="7">
        <v>268</v>
      </c>
      <c r="B270" s="7" t="str">
        <f t="shared" si="25"/>
        <v>0130</v>
      </c>
      <c r="C270" s="7" t="s">
        <v>29</v>
      </c>
      <c r="D270" s="7" t="str">
        <f t="shared" si="23"/>
        <v>教师岗</v>
      </c>
      <c r="E270" s="7" t="str">
        <f>"王兆坤"</f>
        <v>王兆坤</v>
      </c>
      <c r="F270" s="7" t="s">
        <v>9</v>
      </c>
      <c r="G270" s="7"/>
    </row>
    <row r="271" ht="18" customHeight="1" spans="1:7">
      <c r="A271" s="7">
        <v>269</v>
      </c>
      <c r="B271" s="7" t="str">
        <f t="shared" si="25"/>
        <v>0130</v>
      </c>
      <c r="C271" s="7" t="s">
        <v>29</v>
      </c>
      <c r="D271" s="7" t="str">
        <f t="shared" si="23"/>
        <v>教师岗</v>
      </c>
      <c r="E271" s="7" t="str">
        <f>"彭庆忠"</f>
        <v>彭庆忠</v>
      </c>
      <c r="F271" s="7" t="s">
        <v>9</v>
      </c>
      <c r="G271" s="7"/>
    </row>
    <row r="272" ht="18" customHeight="1" spans="1:7">
      <c r="A272" s="7">
        <v>270</v>
      </c>
      <c r="B272" s="7" t="str">
        <f t="shared" si="25"/>
        <v>0130</v>
      </c>
      <c r="C272" s="7" t="s">
        <v>29</v>
      </c>
      <c r="D272" s="7" t="str">
        <f t="shared" si="23"/>
        <v>教师岗</v>
      </c>
      <c r="E272" s="7" t="str">
        <f>"胡佳"</f>
        <v>胡佳</v>
      </c>
      <c r="F272" s="7" t="s">
        <v>9</v>
      </c>
      <c r="G272" s="7"/>
    </row>
    <row r="273" ht="18" customHeight="1" spans="1:7">
      <c r="A273" s="7">
        <v>271</v>
      </c>
      <c r="B273" s="7" t="str">
        <f t="shared" si="25"/>
        <v>0130</v>
      </c>
      <c r="C273" s="7" t="s">
        <v>29</v>
      </c>
      <c r="D273" s="7" t="str">
        <f t="shared" si="23"/>
        <v>教师岗</v>
      </c>
      <c r="E273" s="7" t="str">
        <f>"胥永晓"</f>
        <v>胥永晓</v>
      </c>
      <c r="F273" s="7" t="s">
        <v>9</v>
      </c>
      <c r="G273" s="7"/>
    </row>
    <row r="274" ht="18" customHeight="1" spans="1:7">
      <c r="A274" s="7">
        <v>272</v>
      </c>
      <c r="B274" s="7" t="str">
        <f t="shared" si="25"/>
        <v>0130</v>
      </c>
      <c r="C274" s="7" t="s">
        <v>29</v>
      </c>
      <c r="D274" s="7" t="str">
        <f t="shared" si="23"/>
        <v>教师岗</v>
      </c>
      <c r="E274" s="7" t="str">
        <f>"陈明宣"</f>
        <v>陈明宣</v>
      </c>
      <c r="F274" s="7" t="s">
        <v>9</v>
      </c>
      <c r="G274" s="7"/>
    </row>
    <row r="275" ht="18" customHeight="1" spans="1:7">
      <c r="A275" s="7">
        <v>273</v>
      </c>
      <c r="B275" s="7" t="str">
        <f t="shared" si="25"/>
        <v>0130</v>
      </c>
      <c r="C275" s="7" t="s">
        <v>29</v>
      </c>
      <c r="D275" s="7" t="str">
        <f t="shared" si="23"/>
        <v>教师岗</v>
      </c>
      <c r="E275" s="7" t="str">
        <f>"随昊"</f>
        <v>随昊</v>
      </c>
      <c r="F275" s="7" t="s">
        <v>9</v>
      </c>
      <c r="G275" s="7"/>
    </row>
    <row r="276" ht="18" customHeight="1" spans="1:7">
      <c r="A276" s="7">
        <v>274</v>
      </c>
      <c r="B276" s="7" t="str">
        <f t="shared" si="25"/>
        <v>0130</v>
      </c>
      <c r="C276" s="7" t="s">
        <v>29</v>
      </c>
      <c r="D276" s="7" t="str">
        <f t="shared" si="23"/>
        <v>教师岗</v>
      </c>
      <c r="E276" s="7" t="str">
        <f>"单百川"</f>
        <v>单百川</v>
      </c>
      <c r="F276" s="7" t="s">
        <v>9</v>
      </c>
      <c r="G276" s="7"/>
    </row>
    <row r="277" ht="18" customHeight="1" spans="1:7">
      <c r="A277" s="7">
        <v>275</v>
      </c>
      <c r="B277" s="7" t="str">
        <f t="shared" ref="B277:B296" si="26">"0131"</f>
        <v>0131</v>
      </c>
      <c r="C277" s="7" t="s">
        <v>30</v>
      </c>
      <c r="D277" s="7" t="str">
        <f t="shared" si="23"/>
        <v>教师岗</v>
      </c>
      <c r="E277" s="7" t="str">
        <f>"刘泽"</f>
        <v>刘泽</v>
      </c>
      <c r="F277" s="7" t="s">
        <v>9</v>
      </c>
      <c r="G277" s="7"/>
    </row>
    <row r="278" ht="18" customHeight="1" spans="1:7">
      <c r="A278" s="7">
        <v>276</v>
      </c>
      <c r="B278" s="7" t="str">
        <f t="shared" si="26"/>
        <v>0131</v>
      </c>
      <c r="C278" s="7" t="s">
        <v>30</v>
      </c>
      <c r="D278" s="7" t="str">
        <f t="shared" si="23"/>
        <v>教师岗</v>
      </c>
      <c r="E278" s="7" t="str">
        <f>"刘丹丹"</f>
        <v>刘丹丹</v>
      </c>
      <c r="F278" s="7" t="s">
        <v>9</v>
      </c>
      <c r="G278" s="7"/>
    </row>
    <row r="279" ht="18" customHeight="1" spans="1:7">
      <c r="A279" s="7">
        <v>277</v>
      </c>
      <c r="B279" s="7" t="str">
        <f t="shared" si="26"/>
        <v>0131</v>
      </c>
      <c r="C279" s="7" t="s">
        <v>30</v>
      </c>
      <c r="D279" s="7" t="str">
        <f t="shared" si="23"/>
        <v>教师岗</v>
      </c>
      <c r="E279" s="7" t="str">
        <f>"孙晓阳"</f>
        <v>孙晓阳</v>
      </c>
      <c r="F279" s="7" t="s">
        <v>9</v>
      </c>
      <c r="G279" s="7"/>
    </row>
    <row r="280" ht="18" customHeight="1" spans="1:7">
      <c r="A280" s="7">
        <v>278</v>
      </c>
      <c r="B280" s="7" t="str">
        <f t="shared" si="26"/>
        <v>0131</v>
      </c>
      <c r="C280" s="7" t="s">
        <v>30</v>
      </c>
      <c r="D280" s="7" t="str">
        <f t="shared" si="23"/>
        <v>教师岗</v>
      </c>
      <c r="E280" s="7" t="str">
        <f>"吕晓旭"</f>
        <v>吕晓旭</v>
      </c>
      <c r="F280" s="7" t="s">
        <v>9</v>
      </c>
      <c r="G280" s="7"/>
    </row>
    <row r="281" ht="18" customHeight="1" spans="1:7">
      <c r="A281" s="7">
        <v>279</v>
      </c>
      <c r="B281" s="7" t="str">
        <f t="shared" si="26"/>
        <v>0131</v>
      </c>
      <c r="C281" s="7" t="s">
        <v>30</v>
      </c>
      <c r="D281" s="7" t="str">
        <f t="shared" si="23"/>
        <v>教师岗</v>
      </c>
      <c r="E281" s="7" t="str">
        <f>"甘曼甜"</f>
        <v>甘曼甜</v>
      </c>
      <c r="F281" s="7" t="s">
        <v>9</v>
      </c>
      <c r="G281" s="7"/>
    </row>
    <row r="282" ht="18" customHeight="1" spans="1:7">
      <c r="A282" s="7">
        <v>280</v>
      </c>
      <c r="B282" s="7" t="str">
        <f t="shared" si="26"/>
        <v>0131</v>
      </c>
      <c r="C282" s="7" t="s">
        <v>30</v>
      </c>
      <c r="D282" s="7" t="str">
        <f t="shared" si="23"/>
        <v>教师岗</v>
      </c>
      <c r="E282" s="7" t="str">
        <f>"叶晓丹"</f>
        <v>叶晓丹</v>
      </c>
      <c r="F282" s="7" t="s">
        <v>9</v>
      </c>
      <c r="G282" s="7"/>
    </row>
    <row r="283" ht="18" customHeight="1" spans="1:7">
      <c r="A283" s="7">
        <v>281</v>
      </c>
      <c r="B283" s="7" t="str">
        <f t="shared" si="26"/>
        <v>0131</v>
      </c>
      <c r="C283" s="7" t="s">
        <v>30</v>
      </c>
      <c r="D283" s="7" t="str">
        <f t="shared" si="23"/>
        <v>教师岗</v>
      </c>
      <c r="E283" s="7" t="str">
        <f>"施雅芸"</f>
        <v>施雅芸</v>
      </c>
      <c r="F283" s="7" t="s">
        <v>9</v>
      </c>
      <c r="G283" s="7"/>
    </row>
    <row r="284" ht="18" customHeight="1" spans="1:7">
      <c r="A284" s="7">
        <v>282</v>
      </c>
      <c r="B284" s="7" t="str">
        <f t="shared" si="26"/>
        <v>0131</v>
      </c>
      <c r="C284" s="7" t="s">
        <v>30</v>
      </c>
      <c r="D284" s="7" t="str">
        <f t="shared" si="23"/>
        <v>教师岗</v>
      </c>
      <c r="E284" s="7" t="str">
        <f>"刘冠红"</f>
        <v>刘冠红</v>
      </c>
      <c r="F284" s="7" t="s">
        <v>9</v>
      </c>
      <c r="G284" s="7"/>
    </row>
    <row r="285" ht="18" customHeight="1" spans="1:7">
      <c r="A285" s="7">
        <v>283</v>
      </c>
      <c r="B285" s="7" t="str">
        <f t="shared" si="26"/>
        <v>0131</v>
      </c>
      <c r="C285" s="7" t="s">
        <v>30</v>
      </c>
      <c r="D285" s="7" t="str">
        <f t="shared" si="23"/>
        <v>教师岗</v>
      </c>
      <c r="E285" s="7" t="str">
        <f>"董玢玉"</f>
        <v>董玢玉</v>
      </c>
      <c r="F285" s="7" t="s">
        <v>9</v>
      </c>
      <c r="G285" s="7"/>
    </row>
    <row r="286" ht="18" customHeight="1" spans="1:7">
      <c r="A286" s="7">
        <v>284</v>
      </c>
      <c r="B286" s="7" t="str">
        <f t="shared" si="26"/>
        <v>0131</v>
      </c>
      <c r="C286" s="7" t="s">
        <v>30</v>
      </c>
      <c r="D286" s="7" t="str">
        <f t="shared" si="23"/>
        <v>教师岗</v>
      </c>
      <c r="E286" s="7" t="str">
        <f>"粘玉巧"</f>
        <v>粘玉巧</v>
      </c>
      <c r="F286" s="7" t="s">
        <v>9</v>
      </c>
      <c r="G286" s="7"/>
    </row>
    <row r="287" ht="18" customHeight="1" spans="1:7">
      <c r="A287" s="7">
        <v>285</v>
      </c>
      <c r="B287" s="7" t="str">
        <f t="shared" si="26"/>
        <v>0131</v>
      </c>
      <c r="C287" s="7" t="s">
        <v>30</v>
      </c>
      <c r="D287" s="7" t="str">
        <f t="shared" si="23"/>
        <v>教师岗</v>
      </c>
      <c r="E287" s="7" t="str">
        <f>"陈晓莲"</f>
        <v>陈晓莲</v>
      </c>
      <c r="F287" s="7" t="s">
        <v>9</v>
      </c>
      <c r="G287" s="7"/>
    </row>
    <row r="288" ht="18" customHeight="1" spans="1:7">
      <c r="A288" s="7">
        <v>286</v>
      </c>
      <c r="B288" s="7" t="str">
        <f t="shared" si="26"/>
        <v>0131</v>
      </c>
      <c r="C288" s="7" t="s">
        <v>30</v>
      </c>
      <c r="D288" s="7" t="str">
        <f t="shared" si="23"/>
        <v>教师岗</v>
      </c>
      <c r="E288" s="7" t="str">
        <f>"魏然"</f>
        <v>魏然</v>
      </c>
      <c r="F288" s="7" t="s">
        <v>9</v>
      </c>
      <c r="G288" s="7"/>
    </row>
    <row r="289" ht="18" customHeight="1" spans="1:7">
      <c r="A289" s="7">
        <v>287</v>
      </c>
      <c r="B289" s="7" t="str">
        <f t="shared" si="26"/>
        <v>0131</v>
      </c>
      <c r="C289" s="7" t="s">
        <v>30</v>
      </c>
      <c r="D289" s="7" t="str">
        <f t="shared" si="23"/>
        <v>教师岗</v>
      </c>
      <c r="E289" s="7" t="str">
        <f>"王钰"</f>
        <v>王钰</v>
      </c>
      <c r="F289" s="7" t="s">
        <v>9</v>
      </c>
      <c r="G289" s="7"/>
    </row>
    <row r="290" ht="18" customHeight="1" spans="1:7">
      <c r="A290" s="7">
        <v>288</v>
      </c>
      <c r="B290" s="7" t="str">
        <f t="shared" si="26"/>
        <v>0131</v>
      </c>
      <c r="C290" s="7" t="s">
        <v>30</v>
      </c>
      <c r="D290" s="7" t="str">
        <f t="shared" si="23"/>
        <v>教师岗</v>
      </c>
      <c r="E290" s="7" t="str">
        <f>"陈华玲"</f>
        <v>陈华玲</v>
      </c>
      <c r="F290" s="7" t="s">
        <v>9</v>
      </c>
      <c r="G290" s="7"/>
    </row>
    <row r="291" ht="18" customHeight="1" spans="1:7">
      <c r="A291" s="7">
        <v>289</v>
      </c>
      <c r="B291" s="7" t="str">
        <f t="shared" si="26"/>
        <v>0131</v>
      </c>
      <c r="C291" s="7" t="s">
        <v>30</v>
      </c>
      <c r="D291" s="7" t="str">
        <f t="shared" si="23"/>
        <v>教师岗</v>
      </c>
      <c r="E291" s="7" t="str">
        <f>"彭姚"</f>
        <v>彭姚</v>
      </c>
      <c r="F291" s="7" t="s">
        <v>9</v>
      </c>
      <c r="G291" s="7"/>
    </row>
    <row r="292" ht="18" customHeight="1" spans="1:7">
      <c r="A292" s="7">
        <v>290</v>
      </c>
      <c r="B292" s="7" t="str">
        <f t="shared" si="26"/>
        <v>0131</v>
      </c>
      <c r="C292" s="7" t="s">
        <v>30</v>
      </c>
      <c r="D292" s="7" t="str">
        <f t="shared" si="23"/>
        <v>教师岗</v>
      </c>
      <c r="E292" s="7" t="str">
        <f>"赵昕"</f>
        <v>赵昕</v>
      </c>
      <c r="F292" s="7" t="s">
        <v>9</v>
      </c>
      <c r="G292" s="7"/>
    </row>
    <row r="293" ht="18" customHeight="1" spans="1:7">
      <c r="A293" s="7">
        <v>291</v>
      </c>
      <c r="B293" s="7" t="str">
        <f t="shared" si="26"/>
        <v>0131</v>
      </c>
      <c r="C293" s="7" t="s">
        <v>30</v>
      </c>
      <c r="D293" s="7" t="str">
        <f t="shared" si="23"/>
        <v>教师岗</v>
      </c>
      <c r="E293" s="7" t="str">
        <f>"王晋颖"</f>
        <v>王晋颖</v>
      </c>
      <c r="F293" s="7" t="s">
        <v>9</v>
      </c>
      <c r="G293" s="7"/>
    </row>
    <row r="294" ht="18" customHeight="1" spans="1:7">
      <c r="A294" s="7">
        <v>292</v>
      </c>
      <c r="B294" s="7" t="str">
        <f t="shared" si="26"/>
        <v>0131</v>
      </c>
      <c r="C294" s="7" t="s">
        <v>30</v>
      </c>
      <c r="D294" s="7" t="str">
        <f t="shared" si="23"/>
        <v>教师岗</v>
      </c>
      <c r="E294" s="7" t="str">
        <f>"王德玉"</f>
        <v>王德玉</v>
      </c>
      <c r="F294" s="7" t="s">
        <v>9</v>
      </c>
      <c r="G294" s="7"/>
    </row>
    <row r="295" ht="18" customHeight="1" spans="1:7">
      <c r="A295" s="7">
        <v>293</v>
      </c>
      <c r="B295" s="7" t="str">
        <f t="shared" si="26"/>
        <v>0131</v>
      </c>
      <c r="C295" s="7" t="s">
        <v>30</v>
      </c>
      <c r="D295" s="7" t="str">
        <f t="shared" si="23"/>
        <v>教师岗</v>
      </c>
      <c r="E295" s="7" t="str">
        <f>"朱灵"</f>
        <v>朱灵</v>
      </c>
      <c r="F295" s="7" t="s">
        <v>9</v>
      </c>
      <c r="G295" s="7"/>
    </row>
    <row r="296" ht="18" customHeight="1" spans="1:7">
      <c r="A296" s="7">
        <v>294</v>
      </c>
      <c r="B296" s="7" t="str">
        <f t="shared" si="26"/>
        <v>0131</v>
      </c>
      <c r="C296" s="7" t="s">
        <v>30</v>
      </c>
      <c r="D296" s="7" t="str">
        <f t="shared" si="23"/>
        <v>教师岗</v>
      </c>
      <c r="E296" s="7" t="str">
        <f>"张茹茹"</f>
        <v>张茹茹</v>
      </c>
      <c r="F296" s="7" t="s">
        <v>9</v>
      </c>
      <c r="G296" s="7"/>
    </row>
    <row r="297" ht="18" customHeight="1" spans="1:7">
      <c r="A297" s="7">
        <v>295</v>
      </c>
      <c r="B297" s="7" t="str">
        <f>"0132"</f>
        <v>0132</v>
      </c>
      <c r="C297" s="7" t="s">
        <v>31</v>
      </c>
      <c r="D297" s="7" t="str">
        <f t="shared" si="23"/>
        <v>教师岗</v>
      </c>
      <c r="E297" s="7" t="str">
        <f>"翟元琦"</f>
        <v>翟元琦</v>
      </c>
      <c r="F297" s="7" t="s">
        <v>9</v>
      </c>
      <c r="G297" s="7"/>
    </row>
    <row r="298" ht="18" customHeight="1" spans="1:7">
      <c r="A298" s="7">
        <v>296</v>
      </c>
      <c r="B298" s="7" t="str">
        <f>"0132"</f>
        <v>0132</v>
      </c>
      <c r="C298" s="7" t="s">
        <v>31</v>
      </c>
      <c r="D298" s="7" t="str">
        <f t="shared" si="23"/>
        <v>教师岗</v>
      </c>
      <c r="E298" s="7" t="str">
        <f>"穆沁媛"</f>
        <v>穆沁媛</v>
      </c>
      <c r="F298" s="7" t="s">
        <v>9</v>
      </c>
      <c r="G298" s="7"/>
    </row>
    <row r="299" ht="18" customHeight="1" spans="1:7">
      <c r="A299" s="7">
        <v>297</v>
      </c>
      <c r="B299" s="7" t="str">
        <f>"0132"</f>
        <v>0132</v>
      </c>
      <c r="C299" s="7" t="s">
        <v>31</v>
      </c>
      <c r="D299" s="7" t="str">
        <f t="shared" si="23"/>
        <v>教师岗</v>
      </c>
      <c r="E299" s="7" t="str">
        <f>"贺晓澍"</f>
        <v>贺晓澍</v>
      </c>
      <c r="F299" s="7" t="s">
        <v>9</v>
      </c>
      <c r="G299" s="7"/>
    </row>
    <row r="300" ht="18" customHeight="1" spans="1:7">
      <c r="A300" s="7">
        <v>298</v>
      </c>
      <c r="B300" s="7" t="str">
        <f>"0132"</f>
        <v>0132</v>
      </c>
      <c r="C300" s="7" t="s">
        <v>31</v>
      </c>
      <c r="D300" s="7" t="str">
        <f t="shared" si="23"/>
        <v>教师岗</v>
      </c>
      <c r="E300" s="7" t="str">
        <f>"孙佳平"</f>
        <v>孙佳平</v>
      </c>
      <c r="F300" s="7" t="s">
        <v>9</v>
      </c>
      <c r="G300" s="7"/>
    </row>
    <row r="301" ht="18" customHeight="1" spans="1:7">
      <c r="A301" s="7">
        <v>299</v>
      </c>
      <c r="B301" s="7" t="str">
        <f>"0132"</f>
        <v>0132</v>
      </c>
      <c r="C301" s="7" t="s">
        <v>31</v>
      </c>
      <c r="D301" s="7" t="str">
        <f t="shared" si="23"/>
        <v>教师岗</v>
      </c>
      <c r="E301" s="7" t="str">
        <f>"程思嘉"</f>
        <v>程思嘉</v>
      </c>
      <c r="F301" s="7" t="s">
        <v>9</v>
      </c>
      <c r="G301" s="7"/>
    </row>
    <row r="302" ht="18" customHeight="1" spans="1:7">
      <c r="A302" s="7">
        <v>300</v>
      </c>
      <c r="B302" s="7" t="str">
        <f>"0133"</f>
        <v>0133</v>
      </c>
      <c r="C302" s="7" t="s">
        <v>31</v>
      </c>
      <c r="D302" s="7" t="str">
        <f t="shared" si="23"/>
        <v>教师岗</v>
      </c>
      <c r="E302" s="7" t="str">
        <f>"谢华昭"</f>
        <v>谢华昭</v>
      </c>
      <c r="F302" s="7" t="s">
        <v>9</v>
      </c>
      <c r="G302" s="7"/>
    </row>
    <row r="303" ht="18" customHeight="1" spans="1:7">
      <c r="A303" s="7">
        <v>301</v>
      </c>
      <c r="B303" s="7" t="str">
        <f>"0133"</f>
        <v>0133</v>
      </c>
      <c r="C303" s="7" t="s">
        <v>31</v>
      </c>
      <c r="D303" s="7" t="str">
        <f t="shared" si="23"/>
        <v>教师岗</v>
      </c>
      <c r="E303" s="7" t="str">
        <f>"张芳琦"</f>
        <v>张芳琦</v>
      </c>
      <c r="F303" s="7" t="s">
        <v>9</v>
      </c>
      <c r="G303" s="7"/>
    </row>
    <row r="304" ht="18" customHeight="1" spans="1:7">
      <c r="A304" s="7">
        <v>302</v>
      </c>
      <c r="B304" s="7" t="str">
        <f>"0133"</f>
        <v>0133</v>
      </c>
      <c r="C304" s="7" t="s">
        <v>31</v>
      </c>
      <c r="D304" s="7" t="str">
        <f t="shared" si="23"/>
        <v>教师岗</v>
      </c>
      <c r="E304" s="7" t="str">
        <f>"夏萍"</f>
        <v>夏萍</v>
      </c>
      <c r="F304" s="7" t="s">
        <v>9</v>
      </c>
      <c r="G304" s="7"/>
    </row>
    <row r="305" ht="18" customHeight="1" spans="1:7">
      <c r="A305" s="7">
        <v>303</v>
      </c>
      <c r="B305" s="7" t="str">
        <f t="shared" ref="B305:B313" si="27">"0134"</f>
        <v>0134</v>
      </c>
      <c r="C305" s="7" t="s">
        <v>32</v>
      </c>
      <c r="D305" s="7" t="str">
        <f t="shared" si="23"/>
        <v>教师岗</v>
      </c>
      <c r="E305" s="7" t="str">
        <f>"林世英"</f>
        <v>林世英</v>
      </c>
      <c r="F305" s="7" t="s">
        <v>9</v>
      </c>
      <c r="G305" s="7"/>
    </row>
    <row r="306" ht="18" customHeight="1" spans="1:7">
      <c r="A306" s="7">
        <v>304</v>
      </c>
      <c r="B306" s="7" t="str">
        <f t="shared" si="27"/>
        <v>0134</v>
      </c>
      <c r="C306" s="7" t="s">
        <v>32</v>
      </c>
      <c r="D306" s="7" t="str">
        <f t="shared" si="23"/>
        <v>教师岗</v>
      </c>
      <c r="E306" s="7" t="str">
        <f>"孙桃竹"</f>
        <v>孙桃竹</v>
      </c>
      <c r="F306" s="7" t="s">
        <v>9</v>
      </c>
      <c r="G306" s="7"/>
    </row>
    <row r="307" ht="18" customHeight="1" spans="1:7">
      <c r="A307" s="7">
        <v>305</v>
      </c>
      <c r="B307" s="7" t="str">
        <f t="shared" si="27"/>
        <v>0134</v>
      </c>
      <c r="C307" s="7" t="s">
        <v>32</v>
      </c>
      <c r="D307" s="7" t="str">
        <f t="shared" si="23"/>
        <v>教师岗</v>
      </c>
      <c r="E307" s="7" t="str">
        <f>"谢蕊"</f>
        <v>谢蕊</v>
      </c>
      <c r="F307" s="7" t="s">
        <v>9</v>
      </c>
      <c r="G307" s="7"/>
    </row>
    <row r="308" ht="18" customHeight="1" spans="1:7">
      <c r="A308" s="7">
        <v>306</v>
      </c>
      <c r="B308" s="7" t="str">
        <f t="shared" si="27"/>
        <v>0134</v>
      </c>
      <c r="C308" s="7" t="s">
        <v>32</v>
      </c>
      <c r="D308" s="7" t="str">
        <f t="shared" si="23"/>
        <v>教师岗</v>
      </c>
      <c r="E308" s="7" t="str">
        <f>"森晖"</f>
        <v>森晖</v>
      </c>
      <c r="F308" s="7" t="s">
        <v>9</v>
      </c>
      <c r="G308" s="7"/>
    </row>
    <row r="309" ht="18" customHeight="1" spans="1:7">
      <c r="A309" s="7">
        <v>307</v>
      </c>
      <c r="B309" s="7" t="str">
        <f t="shared" si="27"/>
        <v>0134</v>
      </c>
      <c r="C309" s="7" t="s">
        <v>32</v>
      </c>
      <c r="D309" s="7" t="str">
        <f t="shared" si="23"/>
        <v>教师岗</v>
      </c>
      <c r="E309" s="7" t="str">
        <f>"付芊熊"</f>
        <v>付芊熊</v>
      </c>
      <c r="F309" s="7" t="s">
        <v>9</v>
      </c>
      <c r="G309" s="7"/>
    </row>
    <row r="310" ht="18" customHeight="1" spans="1:7">
      <c r="A310" s="7">
        <v>308</v>
      </c>
      <c r="B310" s="7" t="str">
        <f t="shared" si="27"/>
        <v>0134</v>
      </c>
      <c r="C310" s="7" t="s">
        <v>32</v>
      </c>
      <c r="D310" s="7" t="str">
        <f t="shared" si="23"/>
        <v>教师岗</v>
      </c>
      <c r="E310" s="7" t="str">
        <f>"王圆圆"</f>
        <v>王圆圆</v>
      </c>
      <c r="F310" s="7" t="s">
        <v>9</v>
      </c>
      <c r="G310" s="7"/>
    </row>
    <row r="311" ht="18" customHeight="1" spans="1:7">
      <c r="A311" s="7">
        <v>309</v>
      </c>
      <c r="B311" s="7" t="str">
        <f t="shared" si="27"/>
        <v>0134</v>
      </c>
      <c r="C311" s="7" t="s">
        <v>32</v>
      </c>
      <c r="D311" s="7" t="str">
        <f t="shared" si="23"/>
        <v>教师岗</v>
      </c>
      <c r="E311" s="7" t="str">
        <f>"蔺应俊"</f>
        <v>蔺应俊</v>
      </c>
      <c r="F311" s="7" t="s">
        <v>9</v>
      </c>
      <c r="G311" s="7"/>
    </row>
    <row r="312" ht="18" customHeight="1" spans="1:7">
      <c r="A312" s="7">
        <v>310</v>
      </c>
      <c r="B312" s="7" t="str">
        <f t="shared" si="27"/>
        <v>0134</v>
      </c>
      <c r="C312" s="7" t="s">
        <v>32</v>
      </c>
      <c r="D312" s="7" t="str">
        <f t="shared" si="23"/>
        <v>教师岗</v>
      </c>
      <c r="E312" s="7" t="str">
        <f>"陈文爽"</f>
        <v>陈文爽</v>
      </c>
      <c r="F312" s="7" t="s">
        <v>9</v>
      </c>
      <c r="G312" s="7"/>
    </row>
    <row r="313" ht="18" customHeight="1" spans="1:7">
      <c r="A313" s="7">
        <v>311</v>
      </c>
      <c r="B313" s="7" t="str">
        <f t="shared" si="27"/>
        <v>0134</v>
      </c>
      <c r="C313" s="7" t="s">
        <v>32</v>
      </c>
      <c r="D313" s="7" t="str">
        <f t="shared" si="23"/>
        <v>教师岗</v>
      </c>
      <c r="E313" s="7" t="str">
        <f>"张啟薇"</f>
        <v>张啟薇</v>
      </c>
      <c r="F313" s="7" t="s">
        <v>9</v>
      </c>
      <c r="G313" s="7"/>
    </row>
    <row r="314" ht="18" customHeight="1" spans="1:7">
      <c r="A314" s="7">
        <v>312</v>
      </c>
      <c r="B314" s="7" t="str">
        <f t="shared" ref="B314:B365" si="28">"0135"</f>
        <v>0135</v>
      </c>
      <c r="C314" s="7" t="s">
        <v>33</v>
      </c>
      <c r="D314" s="7" t="str">
        <f t="shared" si="23"/>
        <v>教师岗</v>
      </c>
      <c r="E314" s="7" t="str">
        <f>"吴晓娟"</f>
        <v>吴晓娟</v>
      </c>
      <c r="F314" s="7" t="s">
        <v>9</v>
      </c>
      <c r="G314" s="7"/>
    </row>
    <row r="315" ht="18" customHeight="1" spans="1:7">
      <c r="A315" s="7">
        <v>313</v>
      </c>
      <c r="B315" s="7" t="str">
        <f t="shared" si="28"/>
        <v>0135</v>
      </c>
      <c r="C315" s="7" t="s">
        <v>33</v>
      </c>
      <c r="D315" s="7" t="str">
        <f t="shared" si="23"/>
        <v>教师岗</v>
      </c>
      <c r="E315" s="7" t="str">
        <f>"莫翠端"</f>
        <v>莫翠端</v>
      </c>
      <c r="F315" s="7" t="s">
        <v>9</v>
      </c>
      <c r="G315" s="7"/>
    </row>
    <row r="316" ht="18" customHeight="1" spans="1:7">
      <c r="A316" s="7">
        <v>314</v>
      </c>
      <c r="B316" s="7" t="str">
        <f t="shared" si="28"/>
        <v>0135</v>
      </c>
      <c r="C316" s="7" t="s">
        <v>33</v>
      </c>
      <c r="D316" s="7" t="str">
        <f t="shared" ref="D316:D379" si="29">"教师岗"</f>
        <v>教师岗</v>
      </c>
      <c r="E316" s="7" t="str">
        <f>"曲文晗"</f>
        <v>曲文晗</v>
      </c>
      <c r="F316" s="7" t="s">
        <v>9</v>
      </c>
      <c r="G316" s="7"/>
    </row>
    <row r="317" ht="18" customHeight="1" spans="1:7">
      <c r="A317" s="7">
        <v>315</v>
      </c>
      <c r="B317" s="7" t="str">
        <f t="shared" si="28"/>
        <v>0135</v>
      </c>
      <c r="C317" s="7" t="s">
        <v>33</v>
      </c>
      <c r="D317" s="7" t="str">
        <f t="shared" si="29"/>
        <v>教师岗</v>
      </c>
      <c r="E317" s="7" t="str">
        <f>"陈日风"</f>
        <v>陈日风</v>
      </c>
      <c r="F317" s="7" t="s">
        <v>9</v>
      </c>
      <c r="G317" s="7"/>
    </row>
    <row r="318" ht="18" customHeight="1" spans="1:7">
      <c r="A318" s="7">
        <v>316</v>
      </c>
      <c r="B318" s="7" t="str">
        <f t="shared" si="28"/>
        <v>0135</v>
      </c>
      <c r="C318" s="7" t="s">
        <v>33</v>
      </c>
      <c r="D318" s="7" t="str">
        <f t="shared" si="29"/>
        <v>教师岗</v>
      </c>
      <c r="E318" s="7" t="str">
        <f>"刘静雨"</f>
        <v>刘静雨</v>
      </c>
      <c r="F318" s="7" t="s">
        <v>9</v>
      </c>
      <c r="G318" s="7"/>
    </row>
    <row r="319" ht="18" customHeight="1" spans="1:7">
      <c r="A319" s="7">
        <v>317</v>
      </c>
      <c r="B319" s="7" t="str">
        <f t="shared" si="28"/>
        <v>0135</v>
      </c>
      <c r="C319" s="7" t="s">
        <v>33</v>
      </c>
      <c r="D319" s="7" t="str">
        <f t="shared" si="29"/>
        <v>教师岗</v>
      </c>
      <c r="E319" s="7" t="str">
        <f>"肖慧敏"</f>
        <v>肖慧敏</v>
      </c>
      <c r="F319" s="7" t="s">
        <v>9</v>
      </c>
      <c r="G319" s="7"/>
    </row>
    <row r="320" ht="18" customHeight="1" spans="1:7">
      <c r="A320" s="7">
        <v>318</v>
      </c>
      <c r="B320" s="7" t="str">
        <f t="shared" si="28"/>
        <v>0135</v>
      </c>
      <c r="C320" s="7" t="s">
        <v>33</v>
      </c>
      <c r="D320" s="7" t="str">
        <f t="shared" si="29"/>
        <v>教师岗</v>
      </c>
      <c r="E320" s="7" t="str">
        <f>"杨航"</f>
        <v>杨航</v>
      </c>
      <c r="F320" s="7" t="s">
        <v>9</v>
      </c>
      <c r="G320" s="7"/>
    </row>
    <row r="321" ht="18" customHeight="1" spans="1:7">
      <c r="A321" s="7">
        <v>319</v>
      </c>
      <c r="B321" s="7" t="str">
        <f t="shared" si="28"/>
        <v>0135</v>
      </c>
      <c r="C321" s="7" t="s">
        <v>33</v>
      </c>
      <c r="D321" s="7" t="str">
        <f t="shared" si="29"/>
        <v>教师岗</v>
      </c>
      <c r="E321" s="7" t="str">
        <f>"彭能"</f>
        <v>彭能</v>
      </c>
      <c r="F321" s="7" t="s">
        <v>9</v>
      </c>
      <c r="G321" s="7"/>
    </row>
    <row r="322" ht="18" customHeight="1" spans="1:7">
      <c r="A322" s="7">
        <v>320</v>
      </c>
      <c r="B322" s="7" t="str">
        <f t="shared" si="28"/>
        <v>0135</v>
      </c>
      <c r="C322" s="7" t="s">
        <v>33</v>
      </c>
      <c r="D322" s="7" t="str">
        <f t="shared" si="29"/>
        <v>教师岗</v>
      </c>
      <c r="E322" s="7" t="str">
        <f>"郑晓旭"</f>
        <v>郑晓旭</v>
      </c>
      <c r="F322" s="7" t="s">
        <v>9</v>
      </c>
      <c r="G322" s="7"/>
    </row>
    <row r="323" ht="18" customHeight="1" spans="1:7">
      <c r="A323" s="7">
        <v>321</v>
      </c>
      <c r="B323" s="7" t="str">
        <f t="shared" si="28"/>
        <v>0135</v>
      </c>
      <c r="C323" s="7" t="s">
        <v>33</v>
      </c>
      <c r="D323" s="7" t="str">
        <f t="shared" si="29"/>
        <v>教师岗</v>
      </c>
      <c r="E323" s="7" t="str">
        <f>"王紫娟"</f>
        <v>王紫娟</v>
      </c>
      <c r="F323" s="7" t="s">
        <v>9</v>
      </c>
      <c r="G323" s="7"/>
    </row>
    <row r="324" ht="18" customHeight="1" spans="1:7">
      <c r="A324" s="7">
        <v>322</v>
      </c>
      <c r="B324" s="7" t="str">
        <f t="shared" si="28"/>
        <v>0135</v>
      </c>
      <c r="C324" s="7" t="s">
        <v>33</v>
      </c>
      <c r="D324" s="7" t="str">
        <f t="shared" si="29"/>
        <v>教师岗</v>
      </c>
      <c r="E324" s="7" t="str">
        <f>"林俊杰"</f>
        <v>林俊杰</v>
      </c>
      <c r="F324" s="7" t="s">
        <v>9</v>
      </c>
      <c r="G324" s="7"/>
    </row>
    <row r="325" ht="18" customHeight="1" spans="1:7">
      <c r="A325" s="7">
        <v>323</v>
      </c>
      <c r="B325" s="7" t="str">
        <f t="shared" si="28"/>
        <v>0135</v>
      </c>
      <c r="C325" s="7" t="s">
        <v>33</v>
      </c>
      <c r="D325" s="7" t="str">
        <f t="shared" si="29"/>
        <v>教师岗</v>
      </c>
      <c r="E325" s="7" t="str">
        <f>"熊博达"</f>
        <v>熊博达</v>
      </c>
      <c r="F325" s="7" t="s">
        <v>9</v>
      </c>
      <c r="G325" s="7"/>
    </row>
    <row r="326" ht="18" customHeight="1" spans="1:7">
      <c r="A326" s="7">
        <v>324</v>
      </c>
      <c r="B326" s="7" t="str">
        <f t="shared" si="28"/>
        <v>0135</v>
      </c>
      <c r="C326" s="7" t="s">
        <v>33</v>
      </c>
      <c r="D326" s="7" t="str">
        <f t="shared" si="29"/>
        <v>教师岗</v>
      </c>
      <c r="E326" s="7" t="str">
        <f>"徐笛"</f>
        <v>徐笛</v>
      </c>
      <c r="F326" s="7" t="s">
        <v>9</v>
      </c>
      <c r="G326" s="7"/>
    </row>
    <row r="327" ht="18" customHeight="1" spans="1:7">
      <c r="A327" s="7">
        <v>325</v>
      </c>
      <c r="B327" s="7" t="str">
        <f t="shared" si="28"/>
        <v>0135</v>
      </c>
      <c r="C327" s="7" t="s">
        <v>33</v>
      </c>
      <c r="D327" s="7" t="str">
        <f t="shared" si="29"/>
        <v>教师岗</v>
      </c>
      <c r="E327" s="7" t="str">
        <f>"杨攀"</f>
        <v>杨攀</v>
      </c>
      <c r="F327" s="7" t="s">
        <v>9</v>
      </c>
      <c r="G327" s="7"/>
    </row>
    <row r="328" ht="18" customHeight="1" spans="1:7">
      <c r="A328" s="7">
        <v>326</v>
      </c>
      <c r="B328" s="7" t="str">
        <f t="shared" si="28"/>
        <v>0135</v>
      </c>
      <c r="C328" s="7" t="s">
        <v>33</v>
      </c>
      <c r="D328" s="7" t="str">
        <f t="shared" si="29"/>
        <v>教师岗</v>
      </c>
      <c r="E328" s="7" t="str">
        <f>"张梦娜"</f>
        <v>张梦娜</v>
      </c>
      <c r="F328" s="7" t="s">
        <v>9</v>
      </c>
      <c r="G328" s="7"/>
    </row>
    <row r="329" ht="18" customHeight="1" spans="1:7">
      <c r="A329" s="7">
        <v>327</v>
      </c>
      <c r="B329" s="7" t="str">
        <f t="shared" si="28"/>
        <v>0135</v>
      </c>
      <c r="C329" s="7" t="s">
        <v>33</v>
      </c>
      <c r="D329" s="7" t="str">
        <f t="shared" si="29"/>
        <v>教师岗</v>
      </c>
      <c r="E329" s="7" t="str">
        <f>"李苗"</f>
        <v>李苗</v>
      </c>
      <c r="F329" s="7" t="s">
        <v>9</v>
      </c>
      <c r="G329" s="7"/>
    </row>
    <row r="330" ht="18" customHeight="1" spans="1:7">
      <c r="A330" s="7">
        <v>328</v>
      </c>
      <c r="B330" s="7" t="str">
        <f t="shared" si="28"/>
        <v>0135</v>
      </c>
      <c r="C330" s="7" t="s">
        <v>33</v>
      </c>
      <c r="D330" s="7" t="str">
        <f t="shared" si="29"/>
        <v>教师岗</v>
      </c>
      <c r="E330" s="7" t="str">
        <f>"徐状"</f>
        <v>徐状</v>
      </c>
      <c r="F330" s="7" t="s">
        <v>9</v>
      </c>
      <c r="G330" s="7"/>
    </row>
    <row r="331" ht="18" customHeight="1" spans="1:7">
      <c r="A331" s="7">
        <v>329</v>
      </c>
      <c r="B331" s="7" t="str">
        <f t="shared" si="28"/>
        <v>0135</v>
      </c>
      <c r="C331" s="7" t="s">
        <v>33</v>
      </c>
      <c r="D331" s="7" t="str">
        <f t="shared" si="29"/>
        <v>教师岗</v>
      </c>
      <c r="E331" s="7" t="str">
        <f>"廖小婷"</f>
        <v>廖小婷</v>
      </c>
      <c r="F331" s="7" t="s">
        <v>9</v>
      </c>
      <c r="G331" s="7"/>
    </row>
    <row r="332" ht="18" customHeight="1" spans="1:7">
      <c r="A332" s="7">
        <v>330</v>
      </c>
      <c r="B332" s="7" t="str">
        <f t="shared" si="28"/>
        <v>0135</v>
      </c>
      <c r="C332" s="7" t="s">
        <v>33</v>
      </c>
      <c r="D332" s="7" t="str">
        <f t="shared" si="29"/>
        <v>教师岗</v>
      </c>
      <c r="E332" s="7" t="str">
        <f>"蒋婉婷"</f>
        <v>蒋婉婷</v>
      </c>
      <c r="F332" s="7" t="s">
        <v>9</v>
      </c>
      <c r="G332" s="7"/>
    </row>
    <row r="333" ht="18" customHeight="1" spans="1:7">
      <c r="A333" s="7">
        <v>331</v>
      </c>
      <c r="B333" s="7" t="str">
        <f t="shared" si="28"/>
        <v>0135</v>
      </c>
      <c r="C333" s="7" t="s">
        <v>33</v>
      </c>
      <c r="D333" s="7" t="str">
        <f t="shared" si="29"/>
        <v>教师岗</v>
      </c>
      <c r="E333" s="7" t="str">
        <f>"周映柯"</f>
        <v>周映柯</v>
      </c>
      <c r="F333" s="7" t="s">
        <v>9</v>
      </c>
      <c r="G333" s="7"/>
    </row>
    <row r="334" ht="18" customHeight="1" spans="1:7">
      <c r="A334" s="7">
        <v>332</v>
      </c>
      <c r="B334" s="7" t="str">
        <f t="shared" si="28"/>
        <v>0135</v>
      </c>
      <c r="C334" s="7" t="s">
        <v>33</v>
      </c>
      <c r="D334" s="7" t="str">
        <f t="shared" si="29"/>
        <v>教师岗</v>
      </c>
      <c r="E334" s="7" t="str">
        <f>"杨雅婷"</f>
        <v>杨雅婷</v>
      </c>
      <c r="F334" s="7" t="s">
        <v>9</v>
      </c>
      <c r="G334" s="7"/>
    </row>
    <row r="335" ht="18" customHeight="1" spans="1:7">
      <c r="A335" s="7">
        <v>333</v>
      </c>
      <c r="B335" s="7" t="str">
        <f t="shared" si="28"/>
        <v>0135</v>
      </c>
      <c r="C335" s="7" t="s">
        <v>33</v>
      </c>
      <c r="D335" s="7" t="str">
        <f t="shared" si="29"/>
        <v>教师岗</v>
      </c>
      <c r="E335" s="7" t="str">
        <f>"曾女"</f>
        <v>曾女</v>
      </c>
      <c r="F335" s="7" t="s">
        <v>9</v>
      </c>
      <c r="G335" s="7"/>
    </row>
    <row r="336" ht="18" customHeight="1" spans="1:7">
      <c r="A336" s="7">
        <v>334</v>
      </c>
      <c r="B336" s="7" t="str">
        <f t="shared" si="28"/>
        <v>0135</v>
      </c>
      <c r="C336" s="7" t="s">
        <v>33</v>
      </c>
      <c r="D336" s="7" t="str">
        <f t="shared" si="29"/>
        <v>教师岗</v>
      </c>
      <c r="E336" s="7" t="str">
        <f>"毕天航"</f>
        <v>毕天航</v>
      </c>
      <c r="F336" s="7" t="s">
        <v>9</v>
      </c>
      <c r="G336" s="7"/>
    </row>
    <row r="337" ht="18" customHeight="1" spans="1:7">
      <c r="A337" s="7">
        <v>335</v>
      </c>
      <c r="B337" s="7" t="str">
        <f t="shared" si="28"/>
        <v>0135</v>
      </c>
      <c r="C337" s="7" t="s">
        <v>33</v>
      </c>
      <c r="D337" s="7" t="str">
        <f t="shared" si="29"/>
        <v>教师岗</v>
      </c>
      <c r="E337" s="7" t="str">
        <f>"高园"</f>
        <v>高园</v>
      </c>
      <c r="F337" s="7" t="s">
        <v>9</v>
      </c>
      <c r="G337" s="7"/>
    </row>
    <row r="338" ht="18" customHeight="1" spans="1:7">
      <c r="A338" s="7">
        <v>336</v>
      </c>
      <c r="B338" s="7" t="str">
        <f t="shared" si="28"/>
        <v>0135</v>
      </c>
      <c r="C338" s="7" t="s">
        <v>33</v>
      </c>
      <c r="D338" s="7" t="str">
        <f t="shared" si="29"/>
        <v>教师岗</v>
      </c>
      <c r="E338" s="7" t="str">
        <f>"于文智"</f>
        <v>于文智</v>
      </c>
      <c r="F338" s="7" t="s">
        <v>9</v>
      </c>
      <c r="G338" s="7"/>
    </row>
    <row r="339" ht="18" customHeight="1" spans="1:7">
      <c r="A339" s="7">
        <v>337</v>
      </c>
      <c r="B339" s="7" t="str">
        <f t="shared" si="28"/>
        <v>0135</v>
      </c>
      <c r="C339" s="7" t="s">
        <v>33</v>
      </c>
      <c r="D339" s="7" t="str">
        <f t="shared" si="29"/>
        <v>教师岗</v>
      </c>
      <c r="E339" s="7" t="str">
        <f>"程美琴"</f>
        <v>程美琴</v>
      </c>
      <c r="F339" s="7" t="s">
        <v>9</v>
      </c>
      <c r="G339" s="7"/>
    </row>
    <row r="340" ht="18" customHeight="1" spans="1:7">
      <c r="A340" s="7">
        <v>338</v>
      </c>
      <c r="B340" s="7" t="str">
        <f t="shared" si="28"/>
        <v>0135</v>
      </c>
      <c r="C340" s="7" t="s">
        <v>33</v>
      </c>
      <c r="D340" s="7" t="str">
        <f t="shared" si="29"/>
        <v>教师岗</v>
      </c>
      <c r="E340" s="7" t="str">
        <f>"原晓喻"</f>
        <v>原晓喻</v>
      </c>
      <c r="F340" s="7" t="s">
        <v>9</v>
      </c>
      <c r="G340" s="7"/>
    </row>
    <row r="341" ht="18" customHeight="1" spans="1:7">
      <c r="A341" s="7">
        <v>339</v>
      </c>
      <c r="B341" s="7" t="str">
        <f t="shared" si="28"/>
        <v>0135</v>
      </c>
      <c r="C341" s="7" t="s">
        <v>33</v>
      </c>
      <c r="D341" s="7" t="str">
        <f t="shared" si="29"/>
        <v>教师岗</v>
      </c>
      <c r="E341" s="7" t="str">
        <f>"徐禹康"</f>
        <v>徐禹康</v>
      </c>
      <c r="F341" s="7" t="s">
        <v>9</v>
      </c>
      <c r="G341" s="7"/>
    </row>
    <row r="342" ht="18" customHeight="1" spans="1:7">
      <c r="A342" s="7">
        <v>340</v>
      </c>
      <c r="B342" s="7" t="str">
        <f t="shared" si="28"/>
        <v>0135</v>
      </c>
      <c r="C342" s="7" t="s">
        <v>33</v>
      </c>
      <c r="D342" s="7" t="str">
        <f t="shared" si="29"/>
        <v>教师岗</v>
      </c>
      <c r="E342" s="7" t="str">
        <f>"孟梦梦"</f>
        <v>孟梦梦</v>
      </c>
      <c r="F342" s="7" t="s">
        <v>9</v>
      </c>
      <c r="G342" s="7"/>
    </row>
    <row r="343" ht="18" customHeight="1" spans="1:7">
      <c r="A343" s="7">
        <v>341</v>
      </c>
      <c r="B343" s="7" t="str">
        <f t="shared" si="28"/>
        <v>0135</v>
      </c>
      <c r="C343" s="7" t="s">
        <v>33</v>
      </c>
      <c r="D343" s="7" t="str">
        <f t="shared" si="29"/>
        <v>教师岗</v>
      </c>
      <c r="E343" s="7" t="str">
        <f>"张潇双"</f>
        <v>张潇双</v>
      </c>
      <c r="F343" s="7" t="s">
        <v>9</v>
      </c>
      <c r="G343" s="7"/>
    </row>
    <row r="344" ht="18" customHeight="1" spans="1:7">
      <c r="A344" s="7">
        <v>342</v>
      </c>
      <c r="B344" s="7" t="str">
        <f t="shared" si="28"/>
        <v>0135</v>
      </c>
      <c r="C344" s="7" t="s">
        <v>33</v>
      </c>
      <c r="D344" s="7" t="str">
        <f t="shared" si="29"/>
        <v>教师岗</v>
      </c>
      <c r="E344" s="7" t="str">
        <f>"安欣佩"</f>
        <v>安欣佩</v>
      </c>
      <c r="F344" s="7" t="s">
        <v>9</v>
      </c>
      <c r="G344" s="7"/>
    </row>
    <row r="345" ht="18" customHeight="1" spans="1:7">
      <c r="A345" s="7">
        <v>343</v>
      </c>
      <c r="B345" s="7" t="str">
        <f t="shared" si="28"/>
        <v>0135</v>
      </c>
      <c r="C345" s="7" t="s">
        <v>33</v>
      </c>
      <c r="D345" s="7" t="str">
        <f t="shared" si="29"/>
        <v>教师岗</v>
      </c>
      <c r="E345" s="7" t="str">
        <f>"陶红伟"</f>
        <v>陶红伟</v>
      </c>
      <c r="F345" s="7" t="s">
        <v>9</v>
      </c>
      <c r="G345" s="7"/>
    </row>
    <row r="346" ht="18" customHeight="1" spans="1:7">
      <c r="A346" s="7">
        <v>344</v>
      </c>
      <c r="B346" s="7" t="str">
        <f t="shared" si="28"/>
        <v>0135</v>
      </c>
      <c r="C346" s="7" t="s">
        <v>33</v>
      </c>
      <c r="D346" s="7" t="str">
        <f t="shared" si="29"/>
        <v>教师岗</v>
      </c>
      <c r="E346" s="7" t="str">
        <f>"朱廷建"</f>
        <v>朱廷建</v>
      </c>
      <c r="F346" s="7" t="s">
        <v>9</v>
      </c>
      <c r="G346" s="7"/>
    </row>
    <row r="347" ht="18" customHeight="1" spans="1:7">
      <c r="A347" s="7">
        <v>345</v>
      </c>
      <c r="B347" s="7" t="str">
        <f t="shared" si="28"/>
        <v>0135</v>
      </c>
      <c r="C347" s="7" t="s">
        <v>33</v>
      </c>
      <c r="D347" s="7" t="str">
        <f t="shared" si="29"/>
        <v>教师岗</v>
      </c>
      <c r="E347" s="7" t="str">
        <f>"吉才论"</f>
        <v>吉才论</v>
      </c>
      <c r="F347" s="7" t="s">
        <v>9</v>
      </c>
      <c r="G347" s="7"/>
    </row>
    <row r="348" ht="18" customHeight="1" spans="1:7">
      <c r="A348" s="7">
        <v>346</v>
      </c>
      <c r="B348" s="7" t="str">
        <f t="shared" si="28"/>
        <v>0135</v>
      </c>
      <c r="C348" s="7" t="s">
        <v>33</v>
      </c>
      <c r="D348" s="7" t="str">
        <f t="shared" si="29"/>
        <v>教师岗</v>
      </c>
      <c r="E348" s="7" t="str">
        <f>"王惠"</f>
        <v>王惠</v>
      </c>
      <c r="F348" s="7" t="s">
        <v>9</v>
      </c>
      <c r="G348" s="7"/>
    </row>
    <row r="349" ht="18" customHeight="1" spans="1:7">
      <c r="A349" s="7">
        <v>347</v>
      </c>
      <c r="B349" s="7" t="str">
        <f t="shared" si="28"/>
        <v>0135</v>
      </c>
      <c r="C349" s="7" t="s">
        <v>33</v>
      </c>
      <c r="D349" s="7" t="str">
        <f t="shared" si="29"/>
        <v>教师岗</v>
      </c>
      <c r="E349" s="7" t="str">
        <f>"王欣慰"</f>
        <v>王欣慰</v>
      </c>
      <c r="F349" s="7" t="s">
        <v>9</v>
      </c>
      <c r="G349" s="7"/>
    </row>
    <row r="350" ht="18" customHeight="1" spans="1:7">
      <c r="A350" s="7">
        <v>348</v>
      </c>
      <c r="B350" s="7" t="str">
        <f t="shared" si="28"/>
        <v>0135</v>
      </c>
      <c r="C350" s="7" t="s">
        <v>33</v>
      </c>
      <c r="D350" s="7" t="str">
        <f t="shared" si="29"/>
        <v>教师岗</v>
      </c>
      <c r="E350" s="7" t="str">
        <f>"毕博"</f>
        <v>毕博</v>
      </c>
      <c r="F350" s="7" t="s">
        <v>9</v>
      </c>
      <c r="G350" s="7"/>
    </row>
    <row r="351" ht="18" customHeight="1" spans="1:7">
      <c r="A351" s="7">
        <v>349</v>
      </c>
      <c r="B351" s="7" t="str">
        <f t="shared" si="28"/>
        <v>0135</v>
      </c>
      <c r="C351" s="7" t="s">
        <v>33</v>
      </c>
      <c r="D351" s="7" t="str">
        <f t="shared" si="29"/>
        <v>教师岗</v>
      </c>
      <c r="E351" s="7" t="str">
        <f>"金诺"</f>
        <v>金诺</v>
      </c>
      <c r="F351" s="7" t="s">
        <v>9</v>
      </c>
      <c r="G351" s="7"/>
    </row>
    <row r="352" ht="18" customHeight="1" spans="1:7">
      <c r="A352" s="7">
        <v>350</v>
      </c>
      <c r="B352" s="7" t="str">
        <f t="shared" si="28"/>
        <v>0135</v>
      </c>
      <c r="C352" s="7" t="s">
        <v>33</v>
      </c>
      <c r="D352" s="7" t="str">
        <f t="shared" si="29"/>
        <v>教师岗</v>
      </c>
      <c r="E352" s="7" t="str">
        <f>"蒙雨晨"</f>
        <v>蒙雨晨</v>
      </c>
      <c r="F352" s="7" t="s">
        <v>9</v>
      </c>
      <c r="G352" s="7"/>
    </row>
    <row r="353" ht="18" customHeight="1" spans="1:7">
      <c r="A353" s="7">
        <v>351</v>
      </c>
      <c r="B353" s="7" t="str">
        <f t="shared" si="28"/>
        <v>0135</v>
      </c>
      <c r="C353" s="7" t="s">
        <v>33</v>
      </c>
      <c r="D353" s="7" t="str">
        <f t="shared" si="29"/>
        <v>教师岗</v>
      </c>
      <c r="E353" s="7" t="str">
        <f>"田晨"</f>
        <v>田晨</v>
      </c>
      <c r="F353" s="7" t="s">
        <v>9</v>
      </c>
      <c r="G353" s="7"/>
    </row>
    <row r="354" ht="18" customHeight="1" spans="1:7">
      <c r="A354" s="7">
        <v>352</v>
      </c>
      <c r="B354" s="7" t="str">
        <f t="shared" si="28"/>
        <v>0135</v>
      </c>
      <c r="C354" s="7" t="s">
        <v>33</v>
      </c>
      <c r="D354" s="7" t="str">
        <f t="shared" si="29"/>
        <v>教师岗</v>
      </c>
      <c r="E354" s="7" t="str">
        <f>"周颖"</f>
        <v>周颖</v>
      </c>
      <c r="F354" s="7" t="s">
        <v>9</v>
      </c>
      <c r="G354" s="7"/>
    </row>
    <row r="355" ht="18" customHeight="1" spans="1:7">
      <c r="A355" s="7">
        <v>353</v>
      </c>
      <c r="B355" s="7" t="str">
        <f t="shared" si="28"/>
        <v>0135</v>
      </c>
      <c r="C355" s="7" t="s">
        <v>33</v>
      </c>
      <c r="D355" s="7" t="str">
        <f t="shared" si="29"/>
        <v>教师岗</v>
      </c>
      <c r="E355" s="7" t="str">
        <f>"于净懿"</f>
        <v>于净懿</v>
      </c>
      <c r="F355" s="7" t="s">
        <v>9</v>
      </c>
      <c r="G355" s="7"/>
    </row>
    <row r="356" ht="18" customHeight="1" spans="1:7">
      <c r="A356" s="7">
        <v>354</v>
      </c>
      <c r="B356" s="7" t="str">
        <f t="shared" si="28"/>
        <v>0135</v>
      </c>
      <c r="C356" s="7" t="s">
        <v>33</v>
      </c>
      <c r="D356" s="7" t="str">
        <f t="shared" si="29"/>
        <v>教师岗</v>
      </c>
      <c r="E356" s="7" t="str">
        <f>"李精翠"</f>
        <v>李精翠</v>
      </c>
      <c r="F356" s="7" t="s">
        <v>9</v>
      </c>
      <c r="G356" s="7"/>
    </row>
    <row r="357" ht="18" customHeight="1" spans="1:7">
      <c r="A357" s="7">
        <v>355</v>
      </c>
      <c r="B357" s="7" t="str">
        <f t="shared" si="28"/>
        <v>0135</v>
      </c>
      <c r="C357" s="7" t="s">
        <v>33</v>
      </c>
      <c r="D357" s="7" t="str">
        <f t="shared" si="29"/>
        <v>教师岗</v>
      </c>
      <c r="E357" s="7" t="str">
        <f>"黄国干"</f>
        <v>黄国干</v>
      </c>
      <c r="F357" s="7" t="s">
        <v>9</v>
      </c>
      <c r="G357" s="7"/>
    </row>
    <row r="358" ht="18" customHeight="1" spans="1:7">
      <c r="A358" s="7">
        <v>356</v>
      </c>
      <c r="B358" s="7" t="str">
        <f t="shared" si="28"/>
        <v>0135</v>
      </c>
      <c r="C358" s="7" t="s">
        <v>33</v>
      </c>
      <c r="D358" s="7" t="str">
        <f t="shared" si="29"/>
        <v>教师岗</v>
      </c>
      <c r="E358" s="7" t="str">
        <f>"王怡晴"</f>
        <v>王怡晴</v>
      </c>
      <c r="F358" s="7" t="s">
        <v>9</v>
      </c>
      <c r="G358" s="7"/>
    </row>
    <row r="359" ht="18" customHeight="1" spans="1:7">
      <c r="A359" s="7">
        <v>357</v>
      </c>
      <c r="B359" s="7" t="str">
        <f t="shared" si="28"/>
        <v>0135</v>
      </c>
      <c r="C359" s="7" t="s">
        <v>33</v>
      </c>
      <c r="D359" s="7" t="str">
        <f t="shared" si="29"/>
        <v>教师岗</v>
      </c>
      <c r="E359" s="7" t="str">
        <f>"王冠一"</f>
        <v>王冠一</v>
      </c>
      <c r="F359" s="7" t="s">
        <v>9</v>
      </c>
      <c r="G359" s="7"/>
    </row>
    <row r="360" ht="18" customHeight="1" spans="1:7">
      <c r="A360" s="7">
        <v>358</v>
      </c>
      <c r="B360" s="7" t="str">
        <f t="shared" si="28"/>
        <v>0135</v>
      </c>
      <c r="C360" s="7" t="s">
        <v>33</v>
      </c>
      <c r="D360" s="7" t="str">
        <f t="shared" si="29"/>
        <v>教师岗</v>
      </c>
      <c r="E360" s="7" t="str">
        <f>"周子涵"</f>
        <v>周子涵</v>
      </c>
      <c r="F360" s="7" t="s">
        <v>9</v>
      </c>
      <c r="G360" s="7"/>
    </row>
    <row r="361" ht="18" customHeight="1" spans="1:7">
      <c r="A361" s="7">
        <v>359</v>
      </c>
      <c r="B361" s="7" t="str">
        <f t="shared" si="28"/>
        <v>0135</v>
      </c>
      <c r="C361" s="7" t="s">
        <v>33</v>
      </c>
      <c r="D361" s="7" t="str">
        <f t="shared" si="29"/>
        <v>教师岗</v>
      </c>
      <c r="E361" s="7" t="str">
        <f>"朱秋菊"</f>
        <v>朱秋菊</v>
      </c>
      <c r="F361" s="7" t="s">
        <v>9</v>
      </c>
      <c r="G361" s="7"/>
    </row>
    <row r="362" ht="18" customHeight="1" spans="1:7">
      <c r="A362" s="7">
        <v>360</v>
      </c>
      <c r="B362" s="7" t="str">
        <f t="shared" si="28"/>
        <v>0135</v>
      </c>
      <c r="C362" s="7" t="s">
        <v>33</v>
      </c>
      <c r="D362" s="7" t="str">
        <f t="shared" si="29"/>
        <v>教师岗</v>
      </c>
      <c r="E362" s="7" t="str">
        <f>"辛越"</f>
        <v>辛越</v>
      </c>
      <c r="F362" s="7" t="s">
        <v>9</v>
      </c>
      <c r="G362" s="7"/>
    </row>
    <row r="363" ht="18" customHeight="1" spans="1:7">
      <c r="A363" s="7">
        <v>361</v>
      </c>
      <c r="B363" s="7" t="str">
        <f t="shared" si="28"/>
        <v>0135</v>
      </c>
      <c r="C363" s="7" t="s">
        <v>33</v>
      </c>
      <c r="D363" s="7" t="str">
        <f t="shared" si="29"/>
        <v>教师岗</v>
      </c>
      <c r="E363" s="7" t="str">
        <f>"吴鸿萍"</f>
        <v>吴鸿萍</v>
      </c>
      <c r="F363" s="7" t="s">
        <v>9</v>
      </c>
      <c r="G363" s="7"/>
    </row>
    <row r="364" ht="18" customHeight="1" spans="1:7">
      <c r="A364" s="7">
        <v>362</v>
      </c>
      <c r="B364" s="7" t="str">
        <f t="shared" si="28"/>
        <v>0135</v>
      </c>
      <c r="C364" s="7" t="s">
        <v>33</v>
      </c>
      <c r="D364" s="7" t="str">
        <f t="shared" si="29"/>
        <v>教师岗</v>
      </c>
      <c r="E364" s="7" t="str">
        <f>"莫沛"</f>
        <v>莫沛</v>
      </c>
      <c r="F364" s="7" t="s">
        <v>9</v>
      </c>
      <c r="G364" s="7"/>
    </row>
    <row r="365" ht="18" customHeight="1" spans="1:7">
      <c r="A365" s="7">
        <v>363</v>
      </c>
      <c r="B365" s="7" t="str">
        <f t="shared" si="28"/>
        <v>0135</v>
      </c>
      <c r="C365" s="7" t="s">
        <v>33</v>
      </c>
      <c r="D365" s="7" t="str">
        <f t="shared" si="29"/>
        <v>教师岗</v>
      </c>
      <c r="E365" s="7" t="str">
        <f>"张波"</f>
        <v>张波</v>
      </c>
      <c r="F365" s="7" t="s">
        <v>9</v>
      </c>
      <c r="G365" s="7"/>
    </row>
    <row r="366" ht="18" customHeight="1" spans="1:7">
      <c r="A366" s="7">
        <v>364</v>
      </c>
      <c r="B366" s="7" t="str">
        <f t="shared" ref="B366:B374" si="30">"0137"</f>
        <v>0137</v>
      </c>
      <c r="C366" s="7" t="s">
        <v>34</v>
      </c>
      <c r="D366" s="7" t="str">
        <f t="shared" si="29"/>
        <v>教师岗</v>
      </c>
      <c r="E366" s="7" t="str">
        <f>"张非同"</f>
        <v>张非同</v>
      </c>
      <c r="F366" s="7" t="s">
        <v>9</v>
      </c>
      <c r="G366" s="7"/>
    </row>
    <row r="367" ht="18" customHeight="1" spans="1:7">
      <c r="A367" s="7">
        <v>365</v>
      </c>
      <c r="B367" s="7" t="str">
        <f t="shared" si="30"/>
        <v>0137</v>
      </c>
      <c r="C367" s="7" t="s">
        <v>34</v>
      </c>
      <c r="D367" s="7" t="str">
        <f t="shared" si="29"/>
        <v>教师岗</v>
      </c>
      <c r="E367" s="7" t="str">
        <f>"祝苍盛"</f>
        <v>祝苍盛</v>
      </c>
      <c r="F367" s="7" t="s">
        <v>9</v>
      </c>
      <c r="G367" s="7"/>
    </row>
    <row r="368" ht="18" customHeight="1" spans="1:7">
      <c r="A368" s="7">
        <v>366</v>
      </c>
      <c r="B368" s="7" t="str">
        <f t="shared" si="30"/>
        <v>0137</v>
      </c>
      <c r="C368" s="7" t="s">
        <v>34</v>
      </c>
      <c r="D368" s="7" t="str">
        <f t="shared" si="29"/>
        <v>教师岗</v>
      </c>
      <c r="E368" s="7" t="str">
        <f>"于勇浩"</f>
        <v>于勇浩</v>
      </c>
      <c r="F368" s="7" t="s">
        <v>9</v>
      </c>
      <c r="G368" s="7"/>
    </row>
    <row r="369" ht="18" customHeight="1" spans="1:7">
      <c r="A369" s="7">
        <v>367</v>
      </c>
      <c r="B369" s="7" t="str">
        <f t="shared" si="30"/>
        <v>0137</v>
      </c>
      <c r="C369" s="7" t="s">
        <v>34</v>
      </c>
      <c r="D369" s="7" t="str">
        <f t="shared" si="29"/>
        <v>教师岗</v>
      </c>
      <c r="E369" s="7" t="str">
        <f>"岳明"</f>
        <v>岳明</v>
      </c>
      <c r="F369" s="7" t="s">
        <v>9</v>
      </c>
      <c r="G369" s="7"/>
    </row>
    <row r="370" ht="18" customHeight="1" spans="1:7">
      <c r="A370" s="7">
        <v>368</v>
      </c>
      <c r="B370" s="7" t="str">
        <f t="shared" si="30"/>
        <v>0137</v>
      </c>
      <c r="C370" s="7" t="s">
        <v>34</v>
      </c>
      <c r="D370" s="7" t="str">
        <f t="shared" si="29"/>
        <v>教师岗</v>
      </c>
      <c r="E370" s="7" t="str">
        <f>"邢洺祎"</f>
        <v>邢洺祎</v>
      </c>
      <c r="F370" s="7" t="s">
        <v>9</v>
      </c>
      <c r="G370" s="7"/>
    </row>
    <row r="371" ht="18" customHeight="1" spans="1:7">
      <c r="A371" s="7">
        <v>369</v>
      </c>
      <c r="B371" s="7" t="str">
        <f t="shared" si="30"/>
        <v>0137</v>
      </c>
      <c r="C371" s="7" t="s">
        <v>34</v>
      </c>
      <c r="D371" s="7" t="str">
        <f t="shared" si="29"/>
        <v>教师岗</v>
      </c>
      <c r="E371" s="7" t="str">
        <f>"陈子琛"</f>
        <v>陈子琛</v>
      </c>
      <c r="F371" s="7" t="s">
        <v>9</v>
      </c>
      <c r="G371" s="7"/>
    </row>
    <row r="372" ht="18" customHeight="1" spans="1:7">
      <c r="A372" s="7">
        <v>370</v>
      </c>
      <c r="B372" s="7" t="str">
        <f t="shared" si="30"/>
        <v>0137</v>
      </c>
      <c r="C372" s="7" t="s">
        <v>34</v>
      </c>
      <c r="D372" s="7" t="str">
        <f t="shared" si="29"/>
        <v>教师岗</v>
      </c>
      <c r="E372" s="7" t="str">
        <f>"安俊竹"</f>
        <v>安俊竹</v>
      </c>
      <c r="F372" s="7" t="s">
        <v>9</v>
      </c>
      <c r="G372" s="7"/>
    </row>
    <row r="373" ht="18" customHeight="1" spans="1:7">
      <c r="A373" s="7">
        <v>371</v>
      </c>
      <c r="B373" s="7" t="str">
        <f t="shared" si="30"/>
        <v>0137</v>
      </c>
      <c r="C373" s="7" t="s">
        <v>34</v>
      </c>
      <c r="D373" s="7" t="str">
        <f t="shared" si="29"/>
        <v>教师岗</v>
      </c>
      <c r="E373" s="7" t="str">
        <f>"张家豪"</f>
        <v>张家豪</v>
      </c>
      <c r="F373" s="7" t="s">
        <v>9</v>
      </c>
      <c r="G373" s="7"/>
    </row>
    <row r="374" ht="18" customHeight="1" spans="1:7">
      <c r="A374" s="7">
        <v>372</v>
      </c>
      <c r="B374" s="7" t="str">
        <f t="shared" si="30"/>
        <v>0137</v>
      </c>
      <c r="C374" s="7" t="s">
        <v>34</v>
      </c>
      <c r="D374" s="7" t="str">
        <f t="shared" si="29"/>
        <v>教师岗</v>
      </c>
      <c r="E374" s="7" t="str">
        <f>"魏磊"</f>
        <v>魏磊</v>
      </c>
      <c r="F374" s="7" t="s">
        <v>9</v>
      </c>
      <c r="G374" s="7"/>
    </row>
    <row r="375" ht="18" customHeight="1" spans="1:7">
      <c r="A375" s="7">
        <v>373</v>
      </c>
      <c r="B375" s="7" t="str">
        <f t="shared" ref="B375:B382" si="31">"0138"</f>
        <v>0138</v>
      </c>
      <c r="C375" s="7" t="s">
        <v>34</v>
      </c>
      <c r="D375" s="7" t="str">
        <f t="shared" si="29"/>
        <v>教师岗</v>
      </c>
      <c r="E375" s="7" t="str">
        <f>"宫明乐"</f>
        <v>宫明乐</v>
      </c>
      <c r="F375" s="7" t="s">
        <v>9</v>
      </c>
      <c r="G375" s="7"/>
    </row>
    <row r="376" ht="18" customHeight="1" spans="1:7">
      <c r="A376" s="7">
        <v>374</v>
      </c>
      <c r="B376" s="7" t="str">
        <f t="shared" si="31"/>
        <v>0138</v>
      </c>
      <c r="C376" s="7" t="s">
        <v>34</v>
      </c>
      <c r="D376" s="7" t="str">
        <f t="shared" si="29"/>
        <v>教师岗</v>
      </c>
      <c r="E376" s="7" t="str">
        <f>"陈麒任"</f>
        <v>陈麒任</v>
      </c>
      <c r="F376" s="7" t="s">
        <v>9</v>
      </c>
      <c r="G376" s="7"/>
    </row>
    <row r="377" ht="18" customHeight="1" spans="1:7">
      <c r="A377" s="7">
        <v>375</v>
      </c>
      <c r="B377" s="7" t="str">
        <f t="shared" si="31"/>
        <v>0138</v>
      </c>
      <c r="C377" s="7" t="s">
        <v>34</v>
      </c>
      <c r="D377" s="7" t="str">
        <f t="shared" si="29"/>
        <v>教师岗</v>
      </c>
      <c r="E377" s="7" t="str">
        <f>"李林杰"</f>
        <v>李林杰</v>
      </c>
      <c r="F377" s="7" t="s">
        <v>9</v>
      </c>
      <c r="G377" s="7"/>
    </row>
    <row r="378" ht="18" customHeight="1" spans="1:7">
      <c r="A378" s="7">
        <v>376</v>
      </c>
      <c r="B378" s="7" t="str">
        <f t="shared" si="31"/>
        <v>0138</v>
      </c>
      <c r="C378" s="7" t="s">
        <v>34</v>
      </c>
      <c r="D378" s="7" t="str">
        <f t="shared" si="29"/>
        <v>教师岗</v>
      </c>
      <c r="E378" s="7" t="str">
        <f>"黄敬茜"</f>
        <v>黄敬茜</v>
      </c>
      <c r="F378" s="7" t="s">
        <v>9</v>
      </c>
      <c r="G378" s="7"/>
    </row>
    <row r="379" ht="18" customHeight="1" spans="1:7">
      <c r="A379" s="7">
        <v>377</v>
      </c>
      <c r="B379" s="7" t="str">
        <f t="shared" si="31"/>
        <v>0138</v>
      </c>
      <c r="C379" s="7" t="s">
        <v>34</v>
      </c>
      <c r="D379" s="7" t="str">
        <f t="shared" ref="D379:D427" si="32">"教师岗"</f>
        <v>教师岗</v>
      </c>
      <c r="E379" s="7" t="str">
        <f>"林小曼"</f>
        <v>林小曼</v>
      </c>
      <c r="F379" s="7" t="s">
        <v>9</v>
      </c>
      <c r="G379" s="7"/>
    </row>
    <row r="380" ht="18" customHeight="1" spans="1:7">
      <c r="A380" s="7">
        <v>378</v>
      </c>
      <c r="B380" s="7" t="str">
        <f t="shared" si="31"/>
        <v>0138</v>
      </c>
      <c r="C380" s="7" t="s">
        <v>34</v>
      </c>
      <c r="D380" s="7" t="str">
        <f t="shared" si="32"/>
        <v>教师岗</v>
      </c>
      <c r="E380" s="7" t="str">
        <f>"李怡晨"</f>
        <v>李怡晨</v>
      </c>
      <c r="F380" s="7" t="s">
        <v>9</v>
      </c>
      <c r="G380" s="7"/>
    </row>
    <row r="381" ht="18" customHeight="1" spans="1:7">
      <c r="A381" s="7">
        <v>379</v>
      </c>
      <c r="B381" s="7" t="str">
        <f t="shared" si="31"/>
        <v>0138</v>
      </c>
      <c r="C381" s="7" t="s">
        <v>34</v>
      </c>
      <c r="D381" s="7" t="str">
        <f t="shared" si="32"/>
        <v>教师岗</v>
      </c>
      <c r="E381" s="7" t="str">
        <f>"朱俊鹏"</f>
        <v>朱俊鹏</v>
      </c>
      <c r="F381" s="7" t="s">
        <v>9</v>
      </c>
      <c r="G381" s="7"/>
    </row>
    <row r="382" ht="18" customHeight="1" spans="1:7">
      <c r="A382" s="7">
        <v>380</v>
      </c>
      <c r="B382" s="7" t="str">
        <f t="shared" si="31"/>
        <v>0138</v>
      </c>
      <c r="C382" s="7" t="s">
        <v>34</v>
      </c>
      <c r="D382" s="7" t="str">
        <f t="shared" si="32"/>
        <v>教师岗</v>
      </c>
      <c r="E382" s="9" t="str">
        <f>"王冰"</f>
        <v>王冰</v>
      </c>
      <c r="F382" s="7" t="s">
        <v>9</v>
      </c>
      <c r="G382" s="7" t="str">
        <f>"113417"</f>
        <v>113417</v>
      </c>
    </row>
    <row r="383" ht="18" customHeight="1" spans="1:7">
      <c r="A383" s="7">
        <v>381</v>
      </c>
      <c r="B383" s="7" t="str">
        <f t="shared" ref="B383:B390" si="33">"0139"</f>
        <v>0139</v>
      </c>
      <c r="C383" s="7" t="s">
        <v>34</v>
      </c>
      <c r="D383" s="7" t="str">
        <f t="shared" si="32"/>
        <v>教师岗</v>
      </c>
      <c r="E383" s="7" t="str">
        <f>"岳聪"</f>
        <v>岳聪</v>
      </c>
      <c r="F383" s="7" t="s">
        <v>9</v>
      </c>
      <c r="G383" s="7"/>
    </row>
    <row r="384" ht="18" customHeight="1" spans="1:7">
      <c r="A384" s="7">
        <v>382</v>
      </c>
      <c r="B384" s="7" t="str">
        <f t="shared" si="33"/>
        <v>0139</v>
      </c>
      <c r="C384" s="7" t="s">
        <v>34</v>
      </c>
      <c r="D384" s="7" t="str">
        <f t="shared" si="32"/>
        <v>教师岗</v>
      </c>
      <c r="E384" s="7" t="str">
        <f>"唐露铭"</f>
        <v>唐露铭</v>
      </c>
      <c r="F384" s="7" t="s">
        <v>9</v>
      </c>
      <c r="G384" s="7"/>
    </row>
    <row r="385" ht="18" customHeight="1" spans="1:7">
      <c r="A385" s="7">
        <v>383</v>
      </c>
      <c r="B385" s="7" t="str">
        <f t="shared" si="33"/>
        <v>0139</v>
      </c>
      <c r="C385" s="7" t="s">
        <v>34</v>
      </c>
      <c r="D385" s="7" t="str">
        <f t="shared" si="32"/>
        <v>教师岗</v>
      </c>
      <c r="E385" s="7" t="str">
        <f>"孙祺博"</f>
        <v>孙祺博</v>
      </c>
      <c r="F385" s="7" t="s">
        <v>9</v>
      </c>
      <c r="G385" s="7"/>
    </row>
    <row r="386" ht="18" customHeight="1" spans="1:7">
      <c r="A386" s="7">
        <v>384</v>
      </c>
      <c r="B386" s="7" t="str">
        <f t="shared" si="33"/>
        <v>0139</v>
      </c>
      <c r="C386" s="7" t="s">
        <v>34</v>
      </c>
      <c r="D386" s="7" t="str">
        <f t="shared" si="32"/>
        <v>教师岗</v>
      </c>
      <c r="E386" s="7" t="str">
        <f>"黄鑫"</f>
        <v>黄鑫</v>
      </c>
      <c r="F386" s="7" t="s">
        <v>9</v>
      </c>
      <c r="G386" s="7"/>
    </row>
    <row r="387" ht="18" customHeight="1" spans="1:7">
      <c r="A387" s="7">
        <v>385</v>
      </c>
      <c r="B387" s="7" t="str">
        <f t="shared" si="33"/>
        <v>0139</v>
      </c>
      <c r="C387" s="7" t="s">
        <v>34</v>
      </c>
      <c r="D387" s="7" t="str">
        <f t="shared" si="32"/>
        <v>教师岗</v>
      </c>
      <c r="E387" s="7" t="str">
        <f>"李红云"</f>
        <v>李红云</v>
      </c>
      <c r="F387" s="7" t="s">
        <v>9</v>
      </c>
      <c r="G387" s="7"/>
    </row>
    <row r="388" ht="18" customHeight="1" spans="1:7">
      <c r="A388" s="7">
        <v>386</v>
      </c>
      <c r="B388" s="7" t="str">
        <f t="shared" si="33"/>
        <v>0139</v>
      </c>
      <c r="C388" s="7" t="s">
        <v>34</v>
      </c>
      <c r="D388" s="7" t="str">
        <f t="shared" si="32"/>
        <v>教师岗</v>
      </c>
      <c r="E388" s="7" t="str">
        <f>"郝锡娟"</f>
        <v>郝锡娟</v>
      </c>
      <c r="F388" s="7" t="s">
        <v>9</v>
      </c>
      <c r="G388" s="7"/>
    </row>
    <row r="389" ht="18" customHeight="1" spans="1:7">
      <c r="A389" s="7">
        <v>387</v>
      </c>
      <c r="B389" s="7" t="str">
        <f t="shared" si="33"/>
        <v>0139</v>
      </c>
      <c r="C389" s="7" t="s">
        <v>34</v>
      </c>
      <c r="D389" s="7" t="str">
        <f t="shared" si="32"/>
        <v>教师岗</v>
      </c>
      <c r="E389" s="7" t="str">
        <f>"张骑鹏"</f>
        <v>张骑鹏</v>
      </c>
      <c r="F389" s="7" t="s">
        <v>9</v>
      </c>
      <c r="G389" s="7"/>
    </row>
    <row r="390" ht="18" customHeight="1" spans="1:7">
      <c r="A390" s="7">
        <v>388</v>
      </c>
      <c r="B390" s="7" t="str">
        <f t="shared" si="33"/>
        <v>0139</v>
      </c>
      <c r="C390" s="7" t="s">
        <v>34</v>
      </c>
      <c r="D390" s="7" t="str">
        <f t="shared" si="32"/>
        <v>教师岗</v>
      </c>
      <c r="E390" s="7" t="str">
        <f>"蓝雅沁"</f>
        <v>蓝雅沁</v>
      </c>
      <c r="F390" s="7" t="s">
        <v>9</v>
      </c>
      <c r="G390" s="7"/>
    </row>
    <row r="391" ht="18" customHeight="1" spans="1:7">
      <c r="A391" s="7">
        <v>389</v>
      </c>
      <c r="B391" s="7" t="str">
        <f t="shared" ref="B391:B397" si="34">"0140"</f>
        <v>0140</v>
      </c>
      <c r="C391" s="7" t="s">
        <v>34</v>
      </c>
      <c r="D391" s="7" t="str">
        <f t="shared" si="32"/>
        <v>教师岗</v>
      </c>
      <c r="E391" s="7" t="str">
        <f>"黄超"</f>
        <v>黄超</v>
      </c>
      <c r="F391" s="7" t="s">
        <v>9</v>
      </c>
      <c r="G391" s="7"/>
    </row>
    <row r="392" ht="18" customHeight="1" spans="1:7">
      <c r="A392" s="7">
        <v>390</v>
      </c>
      <c r="B392" s="7" t="str">
        <f t="shared" si="34"/>
        <v>0140</v>
      </c>
      <c r="C392" s="7" t="s">
        <v>34</v>
      </c>
      <c r="D392" s="7" t="str">
        <f t="shared" si="32"/>
        <v>教师岗</v>
      </c>
      <c r="E392" s="7" t="str">
        <f>"袁东瑶"</f>
        <v>袁东瑶</v>
      </c>
      <c r="F392" s="7" t="s">
        <v>9</v>
      </c>
      <c r="G392" s="7"/>
    </row>
    <row r="393" ht="18" customHeight="1" spans="1:7">
      <c r="A393" s="7">
        <v>391</v>
      </c>
      <c r="B393" s="7" t="str">
        <f t="shared" si="34"/>
        <v>0140</v>
      </c>
      <c r="C393" s="7" t="s">
        <v>34</v>
      </c>
      <c r="D393" s="7" t="str">
        <f t="shared" si="32"/>
        <v>教师岗</v>
      </c>
      <c r="E393" s="7" t="str">
        <f>"李雯"</f>
        <v>李雯</v>
      </c>
      <c r="F393" s="7" t="s">
        <v>9</v>
      </c>
      <c r="G393" s="7"/>
    </row>
    <row r="394" ht="18" customHeight="1" spans="1:7">
      <c r="A394" s="7">
        <v>392</v>
      </c>
      <c r="B394" s="7" t="str">
        <f t="shared" si="34"/>
        <v>0140</v>
      </c>
      <c r="C394" s="7" t="s">
        <v>34</v>
      </c>
      <c r="D394" s="7" t="str">
        <f t="shared" si="32"/>
        <v>教师岗</v>
      </c>
      <c r="E394" s="7" t="str">
        <f>"阎家骏"</f>
        <v>阎家骏</v>
      </c>
      <c r="F394" s="7" t="s">
        <v>9</v>
      </c>
      <c r="G394" s="7"/>
    </row>
    <row r="395" ht="18" customHeight="1" spans="1:7">
      <c r="A395" s="7">
        <v>393</v>
      </c>
      <c r="B395" s="7" t="str">
        <f t="shared" si="34"/>
        <v>0140</v>
      </c>
      <c r="C395" s="7" t="s">
        <v>34</v>
      </c>
      <c r="D395" s="7" t="str">
        <f t="shared" si="32"/>
        <v>教师岗</v>
      </c>
      <c r="E395" s="7" t="str">
        <f>"陈小聪"</f>
        <v>陈小聪</v>
      </c>
      <c r="F395" s="7" t="s">
        <v>9</v>
      </c>
      <c r="G395" s="7"/>
    </row>
    <row r="396" ht="18" customHeight="1" spans="1:7">
      <c r="A396" s="7">
        <v>394</v>
      </c>
      <c r="B396" s="7" t="str">
        <f t="shared" si="34"/>
        <v>0140</v>
      </c>
      <c r="C396" s="7" t="s">
        <v>34</v>
      </c>
      <c r="D396" s="7" t="str">
        <f t="shared" si="32"/>
        <v>教师岗</v>
      </c>
      <c r="E396" s="7" t="str">
        <f>"蔡旺东"</f>
        <v>蔡旺东</v>
      </c>
      <c r="F396" s="7" t="s">
        <v>9</v>
      </c>
      <c r="G396" s="7"/>
    </row>
    <row r="397" ht="18" customHeight="1" spans="1:7">
      <c r="A397" s="7">
        <v>395</v>
      </c>
      <c r="B397" s="7" t="str">
        <f t="shared" si="34"/>
        <v>0140</v>
      </c>
      <c r="C397" s="7" t="s">
        <v>34</v>
      </c>
      <c r="D397" s="7" t="str">
        <f t="shared" si="32"/>
        <v>教师岗</v>
      </c>
      <c r="E397" s="7" t="str">
        <f>"崔鹏"</f>
        <v>崔鹏</v>
      </c>
      <c r="F397" s="7" t="s">
        <v>9</v>
      </c>
      <c r="G397" s="7"/>
    </row>
    <row r="398" ht="18" customHeight="1" spans="1:7">
      <c r="A398" s="7">
        <v>396</v>
      </c>
      <c r="B398" s="7" t="str">
        <f>"0141"</f>
        <v>0141</v>
      </c>
      <c r="C398" s="7" t="s">
        <v>34</v>
      </c>
      <c r="D398" s="7" t="str">
        <f t="shared" si="32"/>
        <v>教师岗</v>
      </c>
      <c r="E398" s="7" t="str">
        <f>"倪翠宏"</f>
        <v>倪翠宏</v>
      </c>
      <c r="F398" s="7" t="s">
        <v>9</v>
      </c>
      <c r="G398" s="7"/>
    </row>
    <row r="399" ht="18" customHeight="1" spans="1:7">
      <c r="A399" s="7">
        <v>397</v>
      </c>
      <c r="B399" s="7" t="str">
        <f>"0141"</f>
        <v>0141</v>
      </c>
      <c r="C399" s="7" t="s">
        <v>34</v>
      </c>
      <c r="D399" s="7" t="str">
        <f t="shared" si="32"/>
        <v>教师岗</v>
      </c>
      <c r="E399" s="7" t="str">
        <f>"魏捷"</f>
        <v>魏捷</v>
      </c>
      <c r="F399" s="7" t="s">
        <v>9</v>
      </c>
      <c r="G399" s="7"/>
    </row>
    <row r="400" ht="18" customHeight="1" spans="1:7">
      <c r="A400" s="7">
        <v>398</v>
      </c>
      <c r="B400" s="7" t="str">
        <f>"0141"</f>
        <v>0141</v>
      </c>
      <c r="C400" s="7" t="s">
        <v>34</v>
      </c>
      <c r="D400" s="7" t="str">
        <f t="shared" si="32"/>
        <v>教师岗</v>
      </c>
      <c r="E400" s="7" t="str">
        <f>"罗瑾"</f>
        <v>罗瑾</v>
      </c>
      <c r="F400" s="7" t="s">
        <v>9</v>
      </c>
      <c r="G400" s="7"/>
    </row>
    <row r="401" ht="18" customHeight="1" spans="1:7">
      <c r="A401" s="7">
        <v>399</v>
      </c>
      <c r="B401" s="7" t="str">
        <f>"0141"</f>
        <v>0141</v>
      </c>
      <c r="C401" s="7" t="s">
        <v>34</v>
      </c>
      <c r="D401" s="7" t="str">
        <f t="shared" si="32"/>
        <v>教师岗</v>
      </c>
      <c r="E401" s="7" t="str">
        <f>"李勇"</f>
        <v>李勇</v>
      </c>
      <c r="F401" s="7" t="s">
        <v>9</v>
      </c>
      <c r="G401" s="7"/>
    </row>
    <row r="402" ht="18" customHeight="1" spans="1:7">
      <c r="A402" s="7">
        <v>400</v>
      </c>
      <c r="B402" s="7" t="str">
        <f>"0142"</f>
        <v>0142</v>
      </c>
      <c r="C402" s="7" t="s">
        <v>35</v>
      </c>
      <c r="D402" s="7" t="str">
        <f t="shared" si="32"/>
        <v>教师岗</v>
      </c>
      <c r="E402" s="7" t="str">
        <f>"张晨宸"</f>
        <v>张晨宸</v>
      </c>
      <c r="F402" s="7" t="s">
        <v>9</v>
      </c>
      <c r="G402" s="7"/>
    </row>
    <row r="403" ht="18" customHeight="1" spans="1:7">
      <c r="A403" s="7">
        <v>401</v>
      </c>
      <c r="B403" s="7" t="str">
        <f>"0142"</f>
        <v>0142</v>
      </c>
      <c r="C403" s="7" t="s">
        <v>35</v>
      </c>
      <c r="D403" s="7" t="str">
        <f t="shared" si="32"/>
        <v>教师岗</v>
      </c>
      <c r="E403" s="7" t="str">
        <f>"李洋"</f>
        <v>李洋</v>
      </c>
      <c r="F403" s="7" t="s">
        <v>9</v>
      </c>
      <c r="G403" s="7"/>
    </row>
    <row r="404" ht="18" customHeight="1" spans="1:7">
      <c r="A404" s="7">
        <v>402</v>
      </c>
      <c r="B404" s="7" t="str">
        <f>"0142"</f>
        <v>0142</v>
      </c>
      <c r="C404" s="7" t="s">
        <v>35</v>
      </c>
      <c r="D404" s="7" t="str">
        <f t="shared" si="32"/>
        <v>教师岗</v>
      </c>
      <c r="E404" s="7" t="str">
        <f>"宋春霞"</f>
        <v>宋春霞</v>
      </c>
      <c r="F404" s="7" t="s">
        <v>9</v>
      </c>
      <c r="G404" s="7"/>
    </row>
    <row r="405" ht="18" customHeight="1" spans="1:7">
      <c r="A405" s="7">
        <v>403</v>
      </c>
      <c r="B405" s="7" t="str">
        <f t="shared" ref="B405:B421" si="35">"0143"</f>
        <v>0143</v>
      </c>
      <c r="C405" s="7" t="s">
        <v>36</v>
      </c>
      <c r="D405" s="7" t="str">
        <f t="shared" si="32"/>
        <v>教师岗</v>
      </c>
      <c r="E405" s="7" t="str">
        <f>"陈宇阳"</f>
        <v>陈宇阳</v>
      </c>
      <c r="F405" s="7" t="s">
        <v>9</v>
      </c>
      <c r="G405" s="7"/>
    </row>
    <row r="406" ht="18" customHeight="1" spans="1:7">
      <c r="A406" s="7">
        <v>404</v>
      </c>
      <c r="B406" s="7" t="str">
        <f t="shared" si="35"/>
        <v>0143</v>
      </c>
      <c r="C406" s="7" t="s">
        <v>36</v>
      </c>
      <c r="D406" s="7" t="str">
        <f t="shared" si="32"/>
        <v>教师岗</v>
      </c>
      <c r="E406" s="7" t="str">
        <f>"周晶"</f>
        <v>周晶</v>
      </c>
      <c r="F406" s="7" t="s">
        <v>9</v>
      </c>
      <c r="G406" s="7"/>
    </row>
    <row r="407" ht="18" customHeight="1" spans="1:7">
      <c r="A407" s="7">
        <v>405</v>
      </c>
      <c r="B407" s="7" t="str">
        <f t="shared" si="35"/>
        <v>0143</v>
      </c>
      <c r="C407" s="7" t="s">
        <v>36</v>
      </c>
      <c r="D407" s="7" t="str">
        <f t="shared" si="32"/>
        <v>教师岗</v>
      </c>
      <c r="E407" s="7" t="str">
        <f>"赵佳楠"</f>
        <v>赵佳楠</v>
      </c>
      <c r="F407" s="7" t="s">
        <v>9</v>
      </c>
      <c r="G407" s="7"/>
    </row>
    <row r="408" ht="18" customHeight="1" spans="1:7">
      <c r="A408" s="7">
        <v>406</v>
      </c>
      <c r="B408" s="7" t="str">
        <f t="shared" si="35"/>
        <v>0143</v>
      </c>
      <c r="C408" s="7" t="s">
        <v>36</v>
      </c>
      <c r="D408" s="7" t="str">
        <f t="shared" si="32"/>
        <v>教师岗</v>
      </c>
      <c r="E408" s="7" t="str">
        <f>"何晓慧"</f>
        <v>何晓慧</v>
      </c>
      <c r="F408" s="7" t="s">
        <v>9</v>
      </c>
      <c r="G408" s="7"/>
    </row>
    <row r="409" ht="18" customHeight="1" spans="1:7">
      <c r="A409" s="7">
        <v>407</v>
      </c>
      <c r="B409" s="7" t="str">
        <f t="shared" si="35"/>
        <v>0143</v>
      </c>
      <c r="C409" s="7" t="s">
        <v>36</v>
      </c>
      <c r="D409" s="7" t="str">
        <f t="shared" si="32"/>
        <v>教师岗</v>
      </c>
      <c r="E409" s="7" t="str">
        <f>"黄颖"</f>
        <v>黄颖</v>
      </c>
      <c r="F409" s="7" t="s">
        <v>9</v>
      </c>
      <c r="G409" s="7"/>
    </row>
    <row r="410" ht="18" customHeight="1" spans="1:7">
      <c r="A410" s="7">
        <v>408</v>
      </c>
      <c r="B410" s="7" t="str">
        <f t="shared" si="35"/>
        <v>0143</v>
      </c>
      <c r="C410" s="7" t="s">
        <v>36</v>
      </c>
      <c r="D410" s="7" t="str">
        <f t="shared" si="32"/>
        <v>教师岗</v>
      </c>
      <c r="E410" s="7" t="str">
        <f>"傅景琳"</f>
        <v>傅景琳</v>
      </c>
      <c r="F410" s="7" t="s">
        <v>9</v>
      </c>
      <c r="G410" s="7"/>
    </row>
    <row r="411" ht="18" customHeight="1" spans="1:7">
      <c r="A411" s="7">
        <v>409</v>
      </c>
      <c r="B411" s="7" t="str">
        <f t="shared" si="35"/>
        <v>0143</v>
      </c>
      <c r="C411" s="7" t="s">
        <v>36</v>
      </c>
      <c r="D411" s="7" t="str">
        <f t="shared" si="32"/>
        <v>教师岗</v>
      </c>
      <c r="E411" s="7" t="str">
        <f>"周艺敏"</f>
        <v>周艺敏</v>
      </c>
      <c r="F411" s="7" t="s">
        <v>9</v>
      </c>
      <c r="G411" s="7"/>
    </row>
    <row r="412" ht="18" customHeight="1" spans="1:7">
      <c r="A412" s="7">
        <v>410</v>
      </c>
      <c r="B412" s="7" t="str">
        <f t="shared" si="35"/>
        <v>0143</v>
      </c>
      <c r="C412" s="7" t="s">
        <v>36</v>
      </c>
      <c r="D412" s="7" t="str">
        <f t="shared" si="32"/>
        <v>教师岗</v>
      </c>
      <c r="E412" s="7" t="str">
        <f>"张雨桐"</f>
        <v>张雨桐</v>
      </c>
      <c r="F412" s="7" t="s">
        <v>9</v>
      </c>
      <c r="G412" s="7"/>
    </row>
    <row r="413" ht="18" customHeight="1" spans="1:7">
      <c r="A413" s="7">
        <v>411</v>
      </c>
      <c r="B413" s="7" t="str">
        <f t="shared" si="35"/>
        <v>0143</v>
      </c>
      <c r="C413" s="7" t="s">
        <v>36</v>
      </c>
      <c r="D413" s="7" t="str">
        <f t="shared" si="32"/>
        <v>教师岗</v>
      </c>
      <c r="E413" s="7" t="str">
        <f>"陈婉萍"</f>
        <v>陈婉萍</v>
      </c>
      <c r="F413" s="7" t="s">
        <v>9</v>
      </c>
      <c r="G413" s="7"/>
    </row>
    <row r="414" ht="18" customHeight="1" spans="1:7">
      <c r="A414" s="7">
        <v>412</v>
      </c>
      <c r="B414" s="7" t="str">
        <f t="shared" si="35"/>
        <v>0143</v>
      </c>
      <c r="C414" s="7" t="s">
        <v>36</v>
      </c>
      <c r="D414" s="7" t="str">
        <f t="shared" si="32"/>
        <v>教师岗</v>
      </c>
      <c r="E414" s="7" t="str">
        <f>"刘源源"</f>
        <v>刘源源</v>
      </c>
      <c r="F414" s="7" t="s">
        <v>9</v>
      </c>
      <c r="G414" s="7"/>
    </row>
    <row r="415" ht="18" customHeight="1" spans="1:7">
      <c r="A415" s="7">
        <v>413</v>
      </c>
      <c r="B415" s="7" t="str">
        <f t="shared" si="35"/>
        <v>0143</v>
      </c>
      <c r="C415" s="7" t="s">
        <v>36</v>
      </c>
      <c r="D415" s="7" t="str">
        <f t="shared" si="32"/>
        <v>教师岗</v>
      </c>
      <c r="E415" s="7" t="str">
        <f>"庞家辉"</f>
        <v>庞家辉</v>
      </c>
      <c r="F415" s="7" t="s">
        <v>9</v>
      </c>
      <c r="G415" s="7"/>
    </row>
    <row r="416" ht="18" customHeight="1" spans="1:7">
      <c r="A416" s="7">
        <v>414</v>
      </c>
      <c r="B416" s="7" t="str">
        <f t="shared" si="35"/>
        <v>0143</v>
      </c>
      <c r="C416" s="7" t="s">
        <v>36</v>
      </c>
      <c r="D416" s="7" t="str">
        <f t="shared" si="32"/>
        <v>教师岗</v>
      </c>
      <c r="E416" s="7" t="str">
        <f>"张彦媛"</f>
        <v>张彦媛</v>
      </c>
      <c r="F416" s="7" t="s">
        <v>9</v>
      </c>
      <c r="G416" s="7"/>
    </row>
    <row r="417" ht="18" customHeight="1" spans="1:7">
      <c r="A417" s="7">
        <v>415</v>
      </c>
      <c r="B417" s="7" t="str">
        <f t="shared" si="35"/>
        <v>0143</v>
      </c>
      <c r="C417" s="7" t="s">
        <v>36</v>
      </c>
      <c r="D417" s="7" t="str">
        <f t="shared" si="32"/>
        <v>教师岗</v>
      </c>
      <c r="E417" s="7" t="str">
        <f>"鲍力婉"</f>
        <v>鲍力婉</v>
      </c>
      <c r="F417" s="7" t="s">
        <v>9</v>
      </c>
      <c r="G417" s="7"/>
    </row>
    <row r="418" ht="18" customHeight="1" spans="1:7">
      <c r="A418" s="7">
        <v>416</v>
      </c>
      <c r="B418" s="7" t="str">
        <f t="shared" si="35"/>
        <v>0143</v>
      </c>
      <c r="C418" s="7" t="s">
        <v>36</v>
      </c>
      <c r="D418" s="7" t="str">
        <f t="shared" si="32"/>
        <v>教师岗</v>
      </c>
      <c r="E418" s="7" t="str">
        <f>"曾秋智"</f>
        <v>曾秋智</v>
      </c>
      <c r="F418" s="7" t="s">
        <v>9</v>
      </c>
      <c r="G418" s="7"/>
    </row>
    <row r="419" ht="18" customHeight="1" spans="1:7">
      <c r="A419" s="7">
        <v>417</v>
      </c>
      <c r="B419" s="7" t="str">
        <f t="shared" si="35"/>
        <v>0143</v>
      </c>
      <c r="C419" s="7" t="s">
        <v>36</v>
      </c>
      <c r="D419" s="7" t="str">
        <f t="shared" si="32"/>
        <v>教师岗</v>
      </c>
      <c r="E419" s="7" t="str">
        <f>"雷秋琪"</f>
        <v>雷秋琪</v>
      </c>
      <c r="F419" s="7" t="s">
        <v>9</v>
      </c>
      <c r="G419" s="7"/>
    </row>
    <row r="420" ht="18" customHeight="1" spans="1:7">
      <c r="A420" s="7">
        <v>418</v>
      </c>
      <c r="B420" s="7" t="str">
        <f t="shared" si="35"/>
        <v>0143</v>
      </c>
      <c r="C420" s="7" t="s">
        <v>36</v>
      </c>
      <c r="D420" s="7" t="str">
        <f t="shared" si="32"/>
        <v>教师岗</v>
      </c>
      <c r="E420" s="7" t="str">
        <f>"宋平"</f>
        <v>宋平</v>
      </c>
      <c r="F420" s="7" t="s">
        <v>9</v>
      </c>
      <c r="G420" s="7"/>
    </row>
    <row r="421" ht="18" customHeight="1" spans="1:7">
      <c r="A421" s="7">
        <v>419</v>
      </c>
      <c r="B421" s="7" t="str">
        <f t="shared" si="35"/>
        <v>0143</v>
      </c>
      <c r="C421" s="7" t="s">
        <v>36</v>
      </c>
      <c r="D421" s="7" t="str">
        <f t="shared" si="32"/>
        <v>教师岗</v>
      </c>
      <c r="E421" s="7" t="str">
        <f>"成依婵"</f>
        <v>成依婵</v>
      </c>
      <c r="F421" s="7" t="s">
        <v>9</v>
      </c>
      <c r="G421" s="7"/>
    </row>
    <row r="422" ht="18" customHeight="1" spans="1:7">
      <c r="A422" s="7">
        <v>420</v>
      </c>
      <c r="B422" s="7" t="str">
        <f t="shared" ref="B422:B427" si="36">"0144"</f>
        <v>0144</v>
      </c>
      <c r="C422" s="7" t="s">
        <v>37</v>
      </c>
      <c r="D422" s="7" t="str">
        <f t="shared" si="32"/>
        <v>教师岗</v>
      </c>
      <c r="E422" s="7" t="str">
        <f>"李旭辉"</f>
        <v>李旭辉</v>
      </c>
      <c r="F422" s="7" t="s">
        <v>9</v>
      </c>
      <c r="G422" s="7"/>
    </row>
    <row r="423" ht="18" customHeight="1" spans="1:7">
      <c r="A423" s="7">
        <v>421</v>
      </c>
      <c r="B423" s="7" t="str">
        <f t="shared" si="36"/>
        <v>0144</v>
      </c>
      <c r="C423" s="7" t="s">
        <v>37</v>
      </c>
      <c r="D423" s="7" t="str">
        <f t="shared" si="32"/>
        <v>教师岗</v>
      </c>
      <c r="E423" s="7" t="str">
        <f>"孙沫"</f>
        <v>孙沫</v>
      </c>
      <c r="F423" s="7" t="s">
        <v>9</v>
      </c>
      <c r="G423" s="7"/>
    </row>
    <row r="424" ht="18" customHeight="1" spans="1:7">
      <c r="A424" s="7">
        <v>422</v>
      </c>
      <c r="B424" s="7" t="str">
        <f t="shared" si="36"/>
        <v>0144</v>
      </c>
      <c r="C424" s="7" t="s">
        <v>37</v>
      </c>
      <c r="D424" s="7" t="str">
        <f t="shared" si="32"/>
        <v>教师岗</v>
      </c>
      <c r="E424" s="7" t="str">
        <f>"雷平琳"</f>
        <v>雷平琳</v>
      </c>
      <c r="F424" s="7" t="s">
        <v>9</v>
      </c>
      <c r="G424" s="7"/>
    </row>
    <row r="425" ht="18" customHeight="1" spans="1:7">
      <c r="A425" s="7">
        <v>423</v>
      </c>
      <c r="B425" s="7" t="str">
        <f t="shared" si="36"/>
        <v>0144</v>
      </c>
      <c r="C425" s="7" t="s">
        <v>37</v>
      </c>
      <c r="D425" s="7" t="str">
        <f t="shared" si="32"/>
        <v>教师岗</v>
      </c>
      <c r="E425" s="7" t="str">
        <f>"邹了凡"</f>
        <v>邹了凡</v>
      </c>
      <c r="F425" s="7" t="s">
        <v>9</v>
      </c>
      <c r="G425" s="7"/>
    </row>
    <row r="426" ht="18" customHeight="1" spans="1:7">
      <c r="A426" s="7">
        <v>424</v>
      </c>
      <c r="B426" s="7" t="str">
        <f t="shared" si="36"/>
        <v>0144</v>
      </c>
      <c r="C426" s="7" t="s">
        <v>37</v>
      </c>
      <c r="D426" s="7" t="str">
        <f t="shared" si="32"/>
        <v>教师岗</v>
      </c>
      <c r="E426" s="7" t="str">
        <f>"王珺然"</f>
        <v>王珺然</v>
      </c>
      <c r="F426" s="7" t="s">
        <v>9</v>
      </c>
      <c r="G426" s="7"/>
    </row>
    <row r="427" ht="18" customHeight="1" spans="1:7">
      <c r="A427" s="7">
        <v>425</v>
      </c>
      <c r="B427" s="7" t="str">
        <f t="shared" si="36"/>
        <v>0144</v>
      </c>
      <c r="C427" s="7" t="s">
        <v>37</v>
      </c>
      <c r="D427" s="7" t="str">
        <f t="shared" si="32"/>
        <v>教师岗</v>
      </c>
      <c r="E427" s="7" t="str">
        <f>"吴优"</f>
        <v>吴优</v>
      </c>
      <c r="F427" s="7" t="s">
        <v>9</v>
      </c>
      <c r="G427" s="7"/>
    </row>
    <row r="428" ht="18" customHeight="1" spans="1:7">
      <c r="A428" s="7">
        <v>426</v>
      </c>
      <c r="B428" s="7" t="str">
        <f t="shared" ref="B428:B491" si="37">"0201"</f>
        <v>0201</v>
      </c>
      <c r="C428" s="7" t="s">
        <v>38</v>
      </c>
      <c r="D428" s="7" t="str">
        <f t="shared" ref="D428:D447" si="38">"管理岗"</f>
        <v>管理岗</v>
      </c>
      <c r="E428" s="7" t="str">
        <f>"彭四华"</f>
        <v>彭四华</v>
      </c>
      <c r="F428" s="7" t="s">
        <v>39</v>
      </c>
      <c r="G428" s="7"/>
    </row>
    <row r="429" ht="18" customHeight="1" spans="1:7">
      <c r="A429" s="7">
        <v>427</v>
      </c>
      <c r="B429" s="7" t="str">
        <f t="shared" si="37"/>
        <v>0201</v>
      </c>
      <c r="C429" s="7" t="s">
        <v>38</v>
      </c>
      <c r="D429" s="7" t="str">
        <f t="shared" si="38"/>
        <v>管理岗</v>
      </c>
      <c r="E429" s="7" t="str">
        <f>"鲁钰"</f>
        <v>鲁钰</v>
      </c>
      <c r="F429" s="7" t="s">
        <v>39</v>
      </c>
      <c r="G429" s="7"/>
    </row>
    <row r="430" ht="18" customHeight="1" spans="1:7">
      <c r="A430" s="7">
        <v>428</v>
      </c>
      <c r="B430" s="7" t="str">
        <f t="shared" si="37"/>
        <v>0201</v>
      </c>
      <c r="C430" s="7" t="s">
        <v>38</v>
      </c>
      <c r="D430" s="7" t="str">
        <f t="shared" si="38"/>
        <v>管理岗</v>
      </c>
      <c r="E430" s="7" t="str">
        <f>"梁旭"</f>
        <v>梁旭</v>
      </c>
      <c r="F430" s="7" t="s">
        <v>39</v>
      </c>
      <c r="G430" s="7"/>
    </row>
    <row r="431" ht="18" customHeight="1" spans="1:7">
      <c r="A431" s="7">
        <v>429</v>
      </c>
      <c r="B431" s="7" t="str">
        <f t="shared" si="37"/>
        <v>0201</v>
      </c>
      <c r="C431" s="7" t="s">
        <v>38</v>
      </c>
      <c r="D431" s="7" t="str">
        <f t="shared" si="38"/>
        <v>管理岗</v>
      </c>
      <c r="E431" s="7" t="str">
        <f>"范艳妮"</f>
        <v>范艳妮</v>
      </c>
      <c r="F431" s="7" t="s">
        <v>39</v>
      </c>
      <c r="G431" s="7"/>
    </row>
    <row r="432" ht="18" customHeight="1" spans="1:7">
      <c r="A432" s="7">
        <v>430</v>
      </c>
      <c r="B432" s="7" t="str">
        <f t="shared" si="37"/>
        <v>0201</v>
      </c>
      <c r="C432" s="7" t="s">
        <v>38</v>
      </c>
      <c r="D432" s="7" t="str">
        <f t="shared" si="38"/>
        <v>管理岗</v>
      </c>
      <c r="E432" s="7" t="str">
        <f>"李娜"</f>
        <v>李娜</v>
      </c>
      <c r="F432" s="7" t="s">
        <v>39</v>
      </c>
      <c r="G432" s="7"/>
    </row>
    <row r="433" ht="18" customHeight="1" spans="1:7">
      <c r="A433" s="7">
        <v>431</v>
      </c>
      <c r="B433" s="7" t="str">
        <f t="shared" si="37"/>
        <v>0201</v>
      </c>
      <c r="C433" s="7" t="s">
        <v>38</v>
      </c>
      <c r="D433" s="7" t="str">
        <f t="shared" si="38"/>
        <v>管理岗</v>
      </c>
      <c r="E433" s="7" t="str">
        <f>"符帝俊"</f>
        <v>符帝俊</v>
      </c>
      <c r="F433" s="7" t="s">
        <v>39</v>
      </c>
      <c r="G433" s="7"/>
    </row>
    <row r="434" ht="18" customHeight="1" spans="1:7">
      <c r="A434" s="7">
        <v>432</v>
      </c>
      <c r="B434" s="7" t="str">
        <f t="shared" si="37"/>
        <v>0201</v>
      </c>
      <c r="C434" s="7" t="s">
        <v>38</v>
      </c>
      <c r="D434" s="7" t="str">
        <f t="shared" si="38"/>
        <v>管理岗</v>
      </c>
      <c r="E434" s="7" t="str">
        <f>"黄瑞雪"</f>
        <v>黄瑞雪</v>
      </c>
      <c r="F434" s="7" t="s">
        <v>39</v>
      </c>
      <c r="G434" s="7"/>
    </row>
    <row r="435" ht="18" customHeight="1" spans="1:7">
      <c r="A435" s="7">
        <v>433</v>
      </c>
      <c r="B435" s="7" t="str">
        <f t="shared" si="37"/>
        <v>0201</v>
      </c>
      <c r="C435" s="7" t="s">
        <v>38</v>
      </c>
      <c r="D435" s="7" t="str">
        <f t="shared" si="38"/>
        <v>管理岗</v>
      </c>
      <c r="E435" s="7" t="str">
        <f>"程芳"</f>
        <v>程芳</v>
      </c>
      <c r="F435" s="7" t="s">
        <v>39</v>
      </c>
      <c r="G435" s="7"/>
    </row>
    <row r="436" ht="18" customHeight="1" spans="1:7">
      <c r="A436" s="7">
        <v>434</v>
      </c>
      <c r="B436" s="7" t="str">
        <f t="shared" si="37"/>
        <v>0201</v>
      </c>
      <c r="C436" s="7" t="s">
        <v>38</v>
      </c>
      <c r="D436" s="7" t="str">
        <f t="shared" si="38"/>
        <v>管理岗</v>
      </c>
      <c r="E436" s="7" t="str">
        <f>"晏磊"</f>
        <v>晏磊</v>
      </c>
      <c r="F436" s="7" t="s">
        <v>39</v>
      </c>
      <c r="G436" s="7"/>
    </row>
    <row r="437" ht="18" customHeight="1" spans="1:7">
      <c r="A437" s="7">
        <v>435</v>
      </c>
      <c r="B437" s="7" t="str">
        <f t="shared" si="37"/>
        <v>0201</v>
      </c>
      <c r="C437" s="7" t="s">
        <v>38</v>
      </c>
      <c r="D437" s="7" t="str">
        <f t="shared" si="38"/>
        <v>管理岗</v>
      </c>
      <c r="E437" s="7" t="str">
        <f>"徐薮芳"</f>
        <v>徐薮芳</v>
      </c>
      <c r="F437" s="7" t="s">
        <v>39</v>
      </c>
      <c r="G437" s="7"/>
    </row>
    <row r="438" ht="18" customHeight="1" spans="1:7">
      <c r="A438" s="7">
        <v>436</v>
      </c>
      <c r="B438" s="7" t="str">
        <f t="shared" si="37"/>
        <v>0201</v>
      </c>
      <c r="C438" s="7" t="s">
        <v>38</v>
      </c>
      <c r="D438" s="7" t="str">
        <f t="shared" si="38"/>
        <v>管理岗</v>
      </c>
      <c r="E438" s="7" t="str">
        <f>"杨苏华"</f>
        <v>杨苏华</v>
      </c>
      <c r="F438" s="7" t="s">
        <v>39</v>
      </c>
      <c r="G438" s="7"/>
    </row>
    <row r="439" ht="18" customHeight="1" spans="1:7">
      <c r="A439" s="7">
        <v>437</v>
      </c>
      <c r="B439" s="7" t="str">
        <f t="shared" si="37"/>
        <v>0201</v>
      </c>
      <c r="C439" s="7" t="s">
        <v>38</v>
      </c>
      <c r="D439" s="7" t="str">
        <f t="shared" si="38"/>
        <v>管理岗</v>
      </c>
      <c r="E439" s="7" t="str">
        <f>"羊德起"</f>
        <v>羊德起</v>
      </c>
      <c r="F439" s="7" t="s">
        <v>39</v>
      </c>
      <c r="G439" s="7"/>
    </row>
    <row r="440" ht="18" customHeight="1" spans="1:7">
      <c r="A440" s="7">
        <v>438</v>
      </c>
      <c r="B440" s="7" t="str">
        <f t="shared" si="37"/>
        <v>0201</v>
      </c>
      <c r="C440" s="7" t="s">
        <v>38</v>
      </c>
      <c r="D440" s="7" t="str">
        <f t="shared" si="38"/>
        <v>管理岗</v>
      </c>
      <c r="E440" s="7" t="str">
        <f>"黄玉婷"</f>
        <v>黄玉婷</v>
      </c>
      <c r="F440" s="7" t="s">
        <v>39</v>
      </c>
      <c r="G440" s="7"/>
    </row>
    <row r="441" ht="18" customHeight="1" spans="1:7">
      <c r="A441" s="7">
        <v>439</v>
      </c>
      <c r="B441" s="7" t="str">
        <f t="shared" si="37"/>
        <v>0201</v>
      </c>
      <c r="C441" s="7" t="s">
        <v>38</v>
      </c>
      <c r="D441" s="7" t="str">
        <f t="shared" si="38"/>
        <v>管理岗</v>
      </c>
      <c r="E441" s="7" t="str">
        <f>"冼丽君"</f>
        <v>冼丽君</v>
      </c>
      <c r="F441" s="7" t="s">
        <v>39</v>
      </c>
      <c r="G441" s="7"/>
    </row>
    <row r="442" ht="18" customHeight="1" spans="1:7">
      <c r="A442" s="7">
        <v>440</v>
      </c>
      <c r="B442" s="7" t="str">
        <f t="shared" si="37"/>
        <v>0201</v>
      </c>
      <c r="C442" s="7" t="s">
        <v>38</v>
      </c>
      <c r="D442" s="7" t="str">
        <f t="shared" si="38"/>
        <v>管理岗</v>
      </c>
      <c r="E442" s="7" t="str">
        <f>"曾其娴"</f>
        <v>曾其娴</v>
      </c>
      <c r="F442" s="7" t="s">
        <v>39</v>
      </c>
      <c r="G442" s="7"/>
    </row>
    <row r="443" ht="18" customHeight="1" spans="1:7">
      <c r="A443" s="7">
        <v>441</v>
      </c>
      <c r="B443" s="7" t="str">
        <f t="shared" si="37"/>
        <v>0201</v>
      </c>
      <c r="C443" s="7" t="s">
        <v>38</v>
      </c>
      <c r="D443" s="7" t="str">
        <f t="shared" si="38"/>
        <v>管理岗</v>
      </c>
      <c r="E443" s="7" t="str">
        <f>"蔡洁"</f>
        <v>蔡洁</v>
      </c>
      <c r="F443" s="7" t="s">
        <v>39</v>
      </c>
      <c r="G443" s="7"/>
    </row>
    <row r="444" ht="18" customHeight="1" spans="1:7">
      <c r="A444" s="7">
        <v>442</v>
      </c>
      <c r="B444" s="7" t="str">
        <f t="shared" si="37"/>
        <v>0201</v>
      </c>
      <c r="C444" s="7" t="s">
        <v>38</v>
      </c>
      <c r="D444" s="7" t="str">
        <f t="shared" si="38"/>
        <v>管理岗</v>
      </c>
      <c r="E444" s="7" t="str">
        <f>"徐春丽"</f>
        <v>徐春丽</v>
      </c>
      <c r="F444" s="7" t="s">
        <v>39</v>
      </c>
      <c r="G444" s="7"/>
    </row>
    <row r="445" ht="18" customHeight="1" spans="1:7">
      <c r="A445" s="7">
        <v>443</v>
      </c>
      <c r="B445" s="7" t="str">
        <f t="shared" si="37"/>
        <v>0201</v>
      </c>
      <c r="C445" s="7" t="s">
        <v>38</v>
      </c>
      <c r="D445" s="7" t="str">
        <f t="shared" si="38"/>
        <v>管理岗</v>
      </c>
      <c r="E445" s="7" t="str">
        <f>"唐金造"</f>
        <v>唐金造</v>
      </c>
      <c r="F445" s="7" t="s">
        <v>39</v>
      </c>
      <c r="G445" s="7"/>
    </row>
    <row r="446" ht="18" customHeight="1" spans="1:7">
      <c r="A446" s="7">
        <v>444</v>
      </c>
      <c r="B446" s="7" t="str">
        <f t="shared" si="37"/>
        <v>0201</v>
      </c>
      <c r="C446" s="7" t="s">
        <v>38</v>
      </c>
      <c r="D446" s="7" t="str">
        <f t="shared" si="38"/>
        <v>管理岗</v>
      </c>
      <c r="E446" s="7" t="str">
        <f>"杨鑫"</f>
        <v>杨鑫</v>
      </c>
      <c r="F446" s="7" t="s">
        <v>39</v>
      </c>
      <c r="G446" s="7"/>
    </row>
    <row r="447" ht="18" customHeight="1" spans="1:7">
      <c r="A447" s="7">
        <v>445</v>
      </c>
      <c r="B447" s="7" t="str">
        <f t="shared" si="37"/>
        <v>0201</v>
      </c>
      <c r="C447" s="7" t="s">
        <v>38</v>
      </c>
      <c r="D447" s="7" t="str">
        <f t="shared" si="38"/>
        <v>管理岗</v>
      </c>
      <c r="E447" s="7" t="str">
        <f>"王琦"</f>
        <v>王琦</v>
      </c>
      <c r="F447" s="7" t="s">
        <v>39</v>
      </c>
      <c r="G447" s="7"/>
    </row>
    <row r="448" ht="18" customHeight="1" spans="1:7">
      <c r="A448" s="7">
        <v>446</v>
      </c>
      <c r="B448" s="7" t="str">
        <f t="shared" si="37"/>
        <v>0201</v>
      </c>
      <c r="C448" s="7" t="s">
        <v>38</v>
      </c>
      <c r="D448" s="7" t="s">
        <v>40</v>
      </c>
      <c r="E448" s="7" t="str">
        <f>"何晓琴"</f>
        <v>何晓琴</v>
      </c>
      <c r="F448" s="7" t="s">
        <v>39</v>
      </c>
      <c r="G448" s="7"/>
    </row>
    <row r="449" ht="18" customHeight="1" spans="1:7">
      <c r="A449" s="7">
        <v>447</v>
      </c>
      <c r="B449" s="7" t="str">
        <f t="shared" si="37"/>
        <v>0201</v>
      </c>
      <c r="C449" s="7" t="s">
        <v>38</v>
      </c>
      <c r="D449" s="7" t="str">
        <f>"管理岗"</f>
        <v>管理岗</v>
      </c>
      <c r="E449" s="7" t="str">
        <f>"尚益名"</f>
        <v>尚益名</v>
      </c>
      <c r="F449" s="7" t="s">
        <v>39</v>
      </c>
      <c r="G449" s="7"/>
    </row>
    <row r="450" ht="18" customHeight="1" spans="1:7">
      <c r="A450" s="7">
        <v>448</v>
      </c>
      <c r="B450" s="7" t="str">
        <f t="shared" si="37"/>
        <v>0201</v>
      </c>
      <c r="C450" s="7" t="s">
        <v>38</v>
      </c>
      <c r="D450" s="7" t="str">
        <f>"管理岗"</f>
        <v>管理岗</v>
      </c>
      <c r="E450" s="7" t="str">
        <f>"陈星伊"</f>
        <v>陈星伊</v>
      </c>
      <c r="F450" s="7" t="s">
        <v>39</v>
      </c>
      <c r="G450" s="7"/>
    </row>
    <row r="451" ht="18" customHeight="1" spans="1:7">
      <c r="A451" s="7">
        <v>449</v>
      </c>
      <c r="B451" s="7" t="str">
        <f t="shared" si="37"/>
        <v>0201</v>
      </c>
      <c r="C451" s="7" t="s">
        <v>38</v>
      </c>
      <c r="D451" s="7" t="str">
        <f>"管理岗"</f>
        <v>管理岗</v>
      </c>
      <c r="E451" s="7" t="str">
        <f>"贾馥宇"</f>
        <v>贾馥宇</v>
      </c>
      <c r="F451" s="7" t="s">
        <v>39</v>
      </c>
      <c r="G451" s="7"/>
    </row>
    <row r="452" ht="18" customHeight="1" spans="1:7">
      <c r="A452" s="7">
        <v>450</v>
      </c>
      <c r="B452" s="7" t="str">
        <f t="shared" si="37"/>
        <v>0201</v>
      </c>
      <c r="C452" s="7" t="s">
        <v>38</v>
      </c>
      <c r="D452" s="7" t="str">
        <f>"管理岗"</f>
        <v>管理岗</v>
      </c>
      <c r="E452" s="7" t="str">
        <f>"陈永诚"</f>
        <v>陈永诚</v>
      </c>
      <c r="F452" s="7" t="s">
        <v>39</v>
      </c>
      <c r="G452" s="7"/>
    </row>
    <row r="453" ht="18" customHeight="1" spans="1:7">
      <c r="A453" s="7">
        <v>451</v>
      </c>
      <c r="B453" s="7" t="str">
        <f t="shared" si="37"/>
        <v>0201</v>
      </c>
      <c r="C453" s="7" t="s">
        <v>38</v>
      </c>
      <c r="D453" s="7" t="str">
        <f>"管理岗"</f>
        <v>管理岗</v>
      </c>
      <c r="E453" s="7" t="str">
        <f>"李爱明"</f>
        <v>李爱明</v>
      </c>
      <c r="F453" s="7" t="s">
        <v>39</v>
      </c>
      <c r="G453" s="7"/>
    </row>
    <row r="454" ht="18" customHeight="1" spans="1:7">
      <c r="A454" s="7">
        <v>452</v>
      </c>
      <c r="B454" s="7" t="str">
        <f t="shared" si="37"/>
        <v>0201</v>
      </c>
      <c r="C454" s="7" t="s">
        <v>38</v>
      </c>
      <c r="D454" s="7" t="s">
        <v>40</v>
      </c>
      <c r="E454" s="7" t="str">
        <f>"王志愚"</f>
        <v>王志愚</v>
      </c>
      <c r="F454" s="7" t="s">
        <v>39</v>
      </c>
      <c r="G454" s="7"/>
    </row>
    <row r="455" ht="18" customHeight="1" spans="1:7">
      <c r="A455" s="7">
        <v>453</v>
      </c>
      <c r="B455" s="7" t="str">
        <f t="shared" si="37"/>
        <v>0201</v>
      </c>
      <c r="C455" s="7" t="s">
        <v>38</v>
      </c>
      <c r="D455" s="7" t="str">
        <f t="shared" ref="D455:D515" si="39">"管理岗"</f>
        <v>管理岗</v>
      </c>
      <c r="E455" s="7" t="str">
        <f>"刘辉"</f>
        <v>刘辉</v>
      </c>
      <c r="F455" s="7" t="s">
        <v>39</v>
      </c>
      <c r="G455" s="7"/>
    </row>
    <row r="456" ht="18" customHeight="1" spans="1:7">
      <c r="A456" s="7">
        <v>454</v>
      </c>
      <c r="B456" s="7" t="str">
        <f t="shared" si="37"/>
        <v>0201</v>
      </c>
      <c r="C456" s="7" t="s">
        <v>38</v>
      </c>
      <c r="D456" s="7" t="str">
        <f t="shared" si="39"/>
        <v>管理岗</v>
      </c>
      <c r="E456" s="7" t="str">
        <f>"张佳琪"</f>
        <v>张佳琪</v>
      </c>
      <c r="F456" s="7" t="s">
        <v>39</v>
      </c>
      <c r="G456" s="7"/>
    </row>
    <row r="457" ht="18" customHeight="1" spans="1:7">
      <c r="A457" s="7">
        <v>455</v>
      </c>
      <c r="B457" s="7" t="str">
        <f t="shared" si="37"/>
        <v>0201</v>
      </c>
      <c r="C457" s="7" t="s">
        <v>38</v>
      </c>
      <c r="D457" s="7" t="str">
        <f t="shared" si="39"/>
        <v>管理岗</v>
      </c>
      <c r="E457" s="7" t="str">
        <f>"苏娜"</f>
        <v>苏娜</v>
      </c>
      <c r="F457" s="7" t="s">
        <v>39</v>
      </c>
      <c r="G457" s="7"/>
    </row>
    <row r="458" ht="18" customHeight="1" spans="1:7">
      <c r="A458" s="7">
        <v>456</v>
      </c>
      <c r="B458" s="7" t="str">
        <f t="shared" si="37"/>
        <v>0201</v>
      </c>
      <c r="C458" s="7" t="s">
        <v>38</v>
      </c>
      <c r="D458" s="7" t="str">
        <f t="shared" si="39"/>
        <v>管理岗</v>
      </c>
      <c r="E458" s="7" t="str">
        <f>"毛奕"</f>
        <v>毛奕</v>
      </c>
      <c r="F458" s="7" t="s">
        <v>39</v>
      </c>
      <c r="G458" s="7"/>
    </row>
    <row r="459" ht="18" customHeight="1" spans="1:7">
      <c r="A459" s="7">
        <v>457</v>
      </c>
      <c r="B459" s="7" t="str">
        <f t="shared" si="37"/>
        <v>0201</v>
      </c>
      <c r="C459" s="7" t="s">
        <v>38</v>
      </c>
      <c r="D459" s="7" t="str">
        <f t="shared" si="39"/>
        <v>管理岗</v>
      </c>
      <c r="E459" s="7" t="str">
        <f>"高甜甜"</f>
        <v>高甜甜</v>
      </c>
      <c r="F459" s="7" t="s">
        <v>39</v>
      </c>
      <c r="G459" s="7"/>
    </row>
    <row r="460" ht="18" customHeight="1" spans="1:7">
      <c r="A460" s="7">
        <v>458</v>
      </c>
      <c r="B460" s="7" t="str">
        <f t="shared" si="37"/>
        <v>0201</v>
      </c>
      <c r="C460" s="7" t="s">
        <v>38</v>
      </c>
      <c r="D460" s="7" t="str">
        <f t="shared" si="39"/>
        <v>管理岗</v>
      </c>
      <c r="E460" s="7" t="str">
        <f>"曹杨"</f>
        <v>曹杨</v>
      </c>
      <c r="F460" s="7" t="s">
        <v>39</v>
      </c>
      <c r="G460" s="7"/>
    </row>
    <row r="461" ht="18" customHeight="1" spans="1:7">
      <c r="A461" s="7">
        <v>459</v>
      </c>
      <c r="B461" s="7" t="str">
        <f t="shared" si="37"/>
        <v>0201</v>
      </c>
      <c r="C461" s="7" t="s">
        <v>38</v>
      </c>
      <c r="D461" s="7" t="str">
        <f t="shared" si="39"/>
        <v>管理岗</v>
      </c>
      <c r="E461" s="7" t="str">
        <f>"王禹鸥"</f>
        <v>王禹鸥</v>
      </c>
      <c r="F461" s="7" t="s">
        <v>39</v>
      </c>
      <c r="G461" s="7"/>
    </row>
    <row r="462" ht="18" customHeight="1" spans="1:7">
      <c r="A462" s="7">
        <v>460</v>
      </c>
      <c r="B462" s="7" t="str">
        <f t="shared" si="37"/>
        <v>0201</v>
      </c>
      <c r="C462" s="7" t="s">
        <v>38</v>
      </c>
      <c r="D462" s="7" t="str">
        <f t="shared" si="39"/>
        <v>管理岗</v>
      </c>
      <c r="E462" s="9" t="str">
        <f>"王冰"</f>
        <v>王冰</v>
      </c>
      <c r="F462" s="7" t="s">
        <v>39</v>
      </c>
      <c r="G462" s="7" t="str">
        <f>"190343"</f>
        <v>190343</v>
      </c>
    </row>
    <row r="463" ht="18" customHeight="1" spans="1:7">
      <c r="A463" s="7">
        <v>461</v>
      </c>
      <c r="B463" s="7" t="str">
        <f t="shared" si="37"/>
        <v>0201</v>
      </c>
      <c r="C463" s="7" t="s">
        <v>38</v>
      </c>
      <c r="D463" s="7" t="str">
        <f t="shared" si="39"/>
        <v>管理岗</v>
      </c>
      <c r="E463" s="7" t="str">
        <f>"成海涛"</f>
        <v>成海涛</v>
      </c>
      <c r="F463" s="7" t="s">
        <v>39</v>
      </c>
      <c r="G463" s="7"/>
    </row>
    <row r="464" ht="18" customHeight="1" spans="1:7">
      <c r="A464" s="7">
        <v>462</v>
      </c>
      <c r="B464" s="7" t="str">
        <f t="shared" si="37"/>
        <v>0201</v>
      </c>
      <c r="C464" s="7" t="s">
        <v>38</v>
      </c>
      <c r="D464" s="7" t="str">
        <f t="shared" si="39"/>
        <v>管理岗</v>
      </c>
      <c r="E464" s="7" t="str">
        <f>"李慕珺"</f>
        <v>李慕珺</v>
      </c>
      <c r="F464" s="7" t="s">
        <v>39</v>
      </c>
      <c r="G464" s="7"/>
    </row>
    <row r="465" ht="18" customHeight="1" spans="1:7">
      <c r="A465" s="7">
        <v>463</v>
      </c>
      <c r="B465" s="7" t="str">
        <f t="shared" si="37"/>
        <v>0201</v>
      </c>
      <c r="C465" s="7" t="s">
        <v>38</v>
      </c>
      <c r="D465" s="7" t="str">
        <f t="shared" si="39"/>
        <v>管理岗</v>
      </c>
      <c r="E465" s="7" t="str">
        <f>"李安琪"</f>
        <v>李安琪</v>
      </c>
      <c r="F465" s="7" t="s">
        <v>39</v>
      </c>
      <c r="G465" s="7"/>
    </row>
    <row r="466" ht="18" customHeight="1" spans="1:7">
      <c r="A466" s="7">
        <v>464</v>
      </c>
      <c r="B466" s="7" t="str">
        <f t="shared" si="37"/>
        <v>0201</v>
      </c>
      <c r="C466" s="7" t="s">
        <v>38</v>
      </c>
      <c r="D466" s="7" t="str">
        <f t="shared" si="39"/>
        <v>管理岗</v>
      </c>
      <c r="E466" s="7" t="str">
        <f>"孟龙飞"</f>
        <v>孟龙飞</v>
      </c>
      <c r="F466" s="7" t="s">
        <v>39</v>
      </c>
      <c r="G466" s="7"/>
    </row>
    <row r="467" ht="18" customHeight="1" spans="1:7">
      <c r="A467" s="7">
        <v>465</v>
      </c>
      <c r="B467" s="7" t="str">
        <f t="shared" si="37"/>
        <v>0201</v>
      </c>
      <c r="C467" s="7" t="s">
        <v>38</v>
      </c>
      <c r="D467" s="7" t="str">
        <f t="shared" si="39"/>
        <v>管理岗</v>
      </c>
      <c r="E467" s="7" t="str">
        <f>"王玉慧"</f>
        <v>王玉慧</v>
      </c>
      <c r="F467" s="7" t="s">
        <v>39</v>
      </c>
      <c r="G467" s="7"/>
    </row>
    <row r="468" ht="18" customHeight="1" spans="1:7">
      <c r="A468" s="7">
        <v>466</v>
      </c>
      <c r="B468" s="7" t="str">
        <f t="shared" si="37"/>
        <v>0201</v>
      </c>
      <c r="C468" s="7" t="s">
        <v>38</v>
      </c>
      <c r="D468" s="7" t="str">
        <f t="shared" si="39"/>
        <v>管理岗</v>
      </c>
      <c r="E468" s="7" t="str">
        <f>"付博洋"</f>
        <v>付博洋</v>
      </c>
      <c r="F468" s="7" t="s">
        <v>39</v>
      </c>
      <c r="G468" s="7"/>
    </row>
    <row r="469" ht="18" customHeight="1" spans="1:7">
      <c r="A469" s="7">
        <v>467</v>
      </c>
      <c r="B469" s="7" t="str">
        <f t="shared" si="37"/>
        <v>0201</v>
      </c>
      <c r="C469" s="7" t="s">
        <v>38</v>
      </c>
      <c r="D469" s="7" t="str">
        <f t="shared" si="39"/>
        <v>管理岗</v>
      </c>
      <c r="E469" s="7" t="str">
        <f>"沈月洋"</f>
        <v>沈月洋</v>
      </c>
      <c r="F469" s="7" t="s">
        <v>39</v>
      </c>
      <c r="G469" s="7"/>
    </row>
    <row r="470" ht="18" customHeight="1" spans="1:7">
      <c r="A470" s="7">
        <v>468</v>
      </c>
      <c r="B470" s="7" t="str">
        <f t="shared" si="37"/>
        <v>0201</v>
      </c>
      <c r="C470" s="7" t="s">
        <v>38</v>
      </c>
      <c r="D470" s="7" t="str">
        <f t="shared" si="39"/>
        <v>管理岗</v>
      </c>
      <c r="E470" s="7" t="str">
        <f>"周书娟"</f>
        <v>周书娟</v>
      </c>
      <c r="F470" s="7" t="s">
        <v>39</v>
      </c>
      <c r="G470" s="7"/>
    </row>
    <row r="471" ht="18" customHeight="1" spans="1:7">
      <c r="A471" s="7">
        <v>469</v>
      </c>
      <c r="B471" s="7" t="str">
        <f t="shared" si="37"/>
        <v>0201</v>
      </c>
      <c r="C471" s="7" t="s">
        <v>38</v>
      </c>
      <c r="D471" s="7" t="str">
        <f t="shared" si="39"/>
        <v>管理岗</v>
      </c>
      <c r="E471" s="7" t="str">
        <f>"杨翔贺"</f>
        <v>杨翔贺</v>
      </c>
      <c r="F471" s="7" t="s">
        <v>39</v>
      </c>
      <c r="G471" s="7"/>
    </row>
    <row r="472" ht="18" customHeight="1" spans="1:7">
      <c r="A472" s="7">
        <v>470</v>
      </c>
      <c r="B472" s="7" t="str">
        <f t="shared" si="37"/>
        <v>0201</v>
      </c>
      <c r="C472" s="7" t="s">
        <v>38</v>
      </c>
      <c r="D472" s="7" t="str">
        <f t="shared" si="39"/>
        <v>管理岗</v>
      </c>
      <c r="E472" s="7" t="str">
        <f>"王俊"</f>
        <v>王俊</v>
      </c>
      <c r="F472" s="7" t="s">
        <v>39</v>
      </c>
      <c r="G472" s="7"/>
    </row>
    <row r="473" ht="18" customHeight="1" spans="1:7">
      <c r="A473" s="7">
        <v>471</v>
      </c>
      <c r="B473" s="7" t="str">
        <f t="shared" si="37"/>
        <v>0201</v>
      </c>
      <c r="C473" s="7" t="s">
        <v>38</v>
      </c>
      <c r="D473" s="7" t="str">
        <f t="shared" si="39"/>
        <v>管理岗</v>
      </c>
      <c r="E473" s="7" t="str">
        <f>"陈依帆"</f>
        <v>陈依帆</v>
      </c>
      <c r="F473" s="7" t="s">
        <v>39</v>
      </c>
      <c r="G473" s="7"/>
    </row>
    <row r="474" ht="18" customHeight="1" spans="1:7">
      <c r="A474" s="7">
        <v>472</v>
      </c>
      <c r="B474" s="7" t="str">
        <f t="shared" si="37"/>
        <v>0201</v>
      </c>
      <c r="C474" s="7" t="s">
        <v>38</v>
      </c>
      <c r="D474" s="7" t="str">
        <f t="shared" si="39"/>
        <v>管理岗</v>
      </c>
      <c r="E474" s="7" t="str">
        <f>"叶文新"</f>
        <v>叶文新</v>
      </c>
      <c r="F474" s="7" t="s">
        <v>39</v>
      </c>
      <c r="G474" s="7"/>
    </row>
    <row r="475" ht="18" customHeight="1" spans="1:7">
      <c r="A475" s="7">
        <v>473</v>
      </c>
      <c r="B475" s="7" t="str">
        <f t="shared" si="37"/>
        <v>0201</v>
      </c>
      <c r="C475" s="7" t="s">
        <v>38</v>
      </c>
      <c r="D475" s="7" t="str">
        <f t="shared" si="39"/>
        <v>管理岗</v>
      </c>
      <c r="E475" s="7" t="str">
        <f>"廖美娟"</f>
        <v>廖美娟</v>
      </c>
      <c r="F475" s="7" t="s">
        <v>39</v>
      </c>
      <c r="G475" s="7"/>
    </row>
    <row r="476" ht="18" customHeight="1" spans="1:7">
      <c r="A476" s="7">
        <v>474</v>
      </c>
      <c r="B476" s="7" t="str">
        <f t="shared" si="37"/>
        <v>0201</v>
      </c>
      <c r="C476" s="7" t="s">
        <v>38</v>
      </c>
      <c r="D476" s="7" t="str">
        <f t="shared" si="39"/>
        <v>管理岗</v>
      </c>
      <c r="E476" s="7" t="str">
        <f>"侯乃鸾"</f>
        <v>侯乃鸾</v>
      </c>
      <c r="F476" s="7" t="s">
        <v>39</v>
      </c>
      <c r="G476" s="7"/>
    </row>
    <row r="477" ht="18" customHeight="1" spans="1:7">
      <c r="A477" s="7">
        <v>475</v>
      </c>
      <c r="B477" s="7" t="str">
        <f t="shared" si="37"/>
        <v>0201</v>
      </c>
      <c r="C477" s="7" t="s">
        <v>38</v>
      </c>
      <c r="D477" s="7" t="str">
        <f t="shared" si="39"/>
        <v>管理岗</v>
      </c>
      <c r="E477" s="7" t="str">
        <f>"席悦"</f>
        <v>席悦</v>
      </c>
      <c r="F477" s="7" t="s">
        <v>39</v>
      </c>
      <c r="G477" s="7"/>
    </row>
    <row r="478" ht="18" customHeight="1" spans="1:7">
      <c r="A478" s="7">
        <v>476</v>
      </c>
      <c r="B478" s="7" t="str">
        <f t="shared" si="37"/>
        <v>0201</v>
      </c>
      <c r="C478" s="7" t="s">
        <v>38</v>
      </c>
      <c r="D478" s="7" t="str">
        <f t="shared" si="39"/>
        <v>管理岗</v>
      </c>
      <c r="E478" s="7" t="str">
        <f>"王瑀琪"</f>
        <v>王瑀琪</v>
      </c>
      <c r="F478" s="7" t="s">
        <v>39</v>
      </c>
      <c r="G478" s="7"/>
    </row>
    <row r="479" ht="18" customHeight="1" spans="1:7">
      <c r="A479" s="7">
        <v>477</v>
      </c>
      <c r="B479" s="7" t="str">
        <f t="shared" si="37"/>
        <v>0201</v>
      </c>
      <c r="C479" s="7" t="s">
        <v>38</v>
      </c>
      <c r="D479" s="7" t="str">
        <f t="shared" si="39"/>
        <v>管理岗</v>
      </c>
      <c r="E479" s="7" t="str">
        <f>"李天畅"</f>
        <v>李天畅</v>
      </c>
      <c r="F479" s="7" t="s">
        <v>39</v>
      </c>
      <c r="G479" s="7"/>
    </row>
    <row r="480" ht="18" customHeight="1" spans="1:7">
      <c r="A480" s="7">
        <v>478</v>
      </c>
      <c r="B480" s="7" t="str">
        <f t="shared" si="37"/>
        <v>0201</v>
      </c>
      <c r="C480" s="7" t="s">
        <v>38</v>
      </c>
      <c r="D480" s="7" t="str">
        <f t="shared" si="39"/>
        <v>管理岗</v>
      </c>
      <c r="E480" s="7" t="str">
        <f>"刘帅帅"</f>
        <v>刘帅帅</v>
      </c>
      <c r="F480" s="7" t="s">
        <v>39</v>
      </c>
      <c r="G480" s="7"/>
    </row>
    <row r="481" ht="18" customHeight="1" spans="1:7">
      <c r="A481" s="7">
        <v>479</v>
      </c>
      <c r="B481" s="7" t="str">
        <f t="shared" si="37"/>
        <v>0201</v>
      </c>
      <c r="C481" s="7" t="s">
        <v>38</v>
      </c>
      <c r="D481" s="7" t="str">
        <f t="shared" si="39"/>
        <v>管理岗</v>
      </c>
      <c r="E481" s="7" t="str">
        <f>"曾泳琪"</f>
        <v>曾泳琪</v>
      </c>
      <c r="F481" s="7" t="s">
        <v>39</v>
      </c>
      <c r="G481" s="7"/>
    </row>
    <row r="482" ht="18" customHeight="1" spans="1:7">
      <c r="A482" s="7">
        <v>480</v>
      </c>
      <c r="B482" s="7" t="str">
        <f t="shared" si="37"/>
        <v>0201</v>
      </c>
      <c r="C482" s="7" t="s">
        <v>38</v>
      </c>
      <c r="D482" s="7" t="str">
        <f t="shared" si="39"/>
        <v>管理岗</v>
      </c>
      <c r="E482" s="7" t="str">
        <f>"曾凡亮"</f>
        <v>曾凡亮</v>
      </c>
      <c r="F482" s="7" t="s">
        <v>39</v>
      </c>
      <c r="G482" s="7"/>
    </row>
    <row r="483" ht="18" customHeight="1" spans="1:7">
      <c r="A483" s="7">
        <v>481</v>
      </c>
      <c r="B483" s="7" t="str">
        <f t="shared" si="37"/>
        <v>0201</v>
      </c>
      <c r="C483" s="7" t="s">
        <v>38</v>
      </c>
      <c r="D483" s="7" t="str">
        <f t="shared" si="39"/>
        <v>管理岗</v>
      </c>
      <c r="E483" s="7" t="str">
        <f>"陈贞年"</f>
        <v>陈贞年</v>
      </c>
      <c r="F483" s="7" t="s">
        <v>39</v>
      </c>
      <c r="G483" s="7"/>
    </row>
    <row r="484" ht="18" customHeight="1" spans="1:7">
      <c r="A484" s="7">
        <v>482</v>
      </c>
      <c r="B484" s="7" t="str">
        <f t="shared" si="37"/>
        <v>0201</v>
      </c>
      <c r="C484" s="7" t="s">
        <v>38</v>
      </c>
      <c r="D484" s="7" t="str">
        <f t="shared" si="39"/>
        <v>管理岗</v>
      </c>
      <c r="E484" s="7" t="str">
        <f>"袁晨"</f>
        <v>袁晨</v>
      </c>
      <c r="F484" s="7" t="s">
        <v>39</v>
      </c>
      <c r="G484" s="7"/>
    </row>
    <row r="485" ht="18" customHeight="1" spans="1:7">
      <c r="A485" s="7">
        <v>483</v>
      </c>
      <c r="B485" s="7" t="str">
        <f t="shared" si="37"/>
        <v>0201</v>
      </c>
      <c r="C485" s="7" t="s">
        <v>38</v>
      </c>
      <c r="D485" s="7" t="str">
        <f t="shared" si="39"/>
        <v>管理岗</v>
      </c>
      <c r="E485" s="7" t="str">
        <f>"蔡嘉丽"</f>
        <v>蔡嘉丽</v>
      </c>
      <c r="F485" s="7" t="s">
        <v>39</v>
      </c>
      <c r="G485" s="7"/>
    </row>
    <row r="486" ht="18" customHeight="1" spans="1:7">
      <c r="A486" s="7">
        <v>484</v>
      </c>
      <c r="B486" s="7" t="str">
        <f t="shared" si="37"/>
        <v>0201</v>
      </c>
      <c r="C486" s="7" t="s">
        <v>38</v>
      </c>
      <c r="D486" s="7" t="str">
        <f t="shared" si="39"/>
        <v>管理岗</v>
      </c>
      <c r="E486" s="7" t="str">
        <f>"马蜻霞"</f>
        <v>马蜻霞</v>
      </c>
      <c r="F486" s="7" t="s">
        <v>39</v>
      </c>
      <c r="G486" s="7"/>
    </row>
    <row r="487" ht="18" customHeight="1" spans="1:7">
      <c r="A487" s="7">
        <v>485</v>
      </c>
      <c r="B487" s="7" t="str">
        <f t="shared" si="37"/>
        <v>0201</v>
      </c>
      <c r="C487" s="7" t="s">
        <v>38</v>
      </c>
      <c r="D487" s="7" t="str">
        <f t="shared" si="39"/>
        <v>管理岗</v>
      </c>
      <c r="E487" s="7" t="str">
        <f>"林春妹"</f>
        <v>林春妹</v>
      </c>
      <c r="F487" s="7" t="s">
        <v>39</v>
      </c>
      <c r="G487" s="7"/>
    </row>
    <row r="488" ht="18" customHeight="1" spans="1:7">
      <c r="A488" s="7">
        <v>486</v>
      </c>
      <c r="B488" s="7" t="str">
        <f t="shared" si="37"/>
        <v>0201</v>
      </c>
      <c r="C488" s="7" t="s">
        <v>38</v>
      </c>
      <c r="D488" s="7" t="str">
        <f t="shared" si="39"/>
        <v>管理岗</v>
      </c>
      <c r="E488" s="7" t="str">
        <f>"杨文培"</f>
        <v>杨文培</v>
      </c>
      <c r="F488" s="7" t="s">
        <v>39</v>
      </c>
      <c r="G488" s="7"/>
    </row>
    <row r="489" ht="18" customHeight="1" spans="1:7">
      <c r="A489" s="7">
        <v>487</v>
      </c>
      <c r="B489" s="7" t="str">
        <f t="shared" si="37"/>
        <v>0201</v>
      </c>
      <c r="C489" s="7" t="s">
        <v>38</v>
      </c>
      <c r="D489" s="7" t="str">
        <f t="shared" si="39"/>
        <v>管理岗</v>
      </c>
      <c r="E489" s="7" t="str">
        <f>"杨泽洲"</f>
        <v>杨泽洲</v>
      </c>
      <c r="F489" s="7" t="s">
        <v>39</v>
      </c>
      <c r="G489" s="7"/>
    </row>
    <row r="490" ht="18" customHeight="1" spans="1:7">
      <c r="A490" s="7">
        <v>488</v>
      </c>
      <c r="B490" s="7" t="str">
        <f t="shared" si="37"/>
        <v>0201</v>
      </c>
      <c r="C490" s="7" t="s">
        <v>38</v>
      </c>
      <c r="D490" s="7" t="str">
        <f t="shared" si="39"/>
        <v>管理岗</v>
      </c>
      <c r="E490" s="7" t="str">
        <f>"陈文玥"</f>
        <v>陈文玥</v>
      </c>
      <c r="F490" s="7" t="s">
        <v>39</v>
      </c>
      <c r="G490" s="7"/>
    </row>
    <row r="491" ht="18" customHeight="1" spans="1:7">
      <c r="A491" s="7">
        <v>489</v>
      </c>
      <c r="B491" s="7" t="str">
        <f t="shared" si="37"/>
        <v>0201</v>
      </c>
      <c r="C491" s="7" t="s">
        <v>38</v>
      </c>
      <c r="D491" s="7" t="str">
        <f t="shared" si="39"/>
        <v>管理岗</v>
      </c>
      <c r="E491" s="7" t="str">
        <f>"李伊扬"</f>
        <v>李伊扬</v>
      </c>
      <c r="F491" s="7" t="s">
        <v>39</v>
      </c>
      <c r="G491" s="7"/>
    </row>
    <row r="492" ht="18" customHeight="1" spans="1:7">
      <c r="A492" s="7">
        <v>490</v>
      </c>
      <c r="B492" s="7" t="str">
        <f t="shared" ref="B492:B555" si="40">"0201"</f>
        <v>0201</v>
      </c>
      <c r="C492" s="7" t="s">
        <v>38</v>
      </c>
      <c r="D492" s="7" t="str">
        <f t="shared" si="39"/>
        <v>管理岗</v>
      </c>
      <c r="E492" s="7" t="str">
        <f>"谭定杰"</f>
        <v>谭定杰</v>
      </c>
      <c r="F492" s="7" t="s">
        <v>39</v>
      </c>
      <c r="G492" s="7"/>
    </row>
    <row r="493" ht="18" customHeight="1" spans="1:7">
      <c r="A493" s="7">
        <v>491</v>
      </c>
      <c r="B493" s="7" t="str">
        <f t="shared" si="40"/>
        <v>0201</v>
      </c>
      <c r="C493" s="7" t="s">
        <v>38</v>
      </c>
      <c r="D493" s="7" t="str">
        <f t="shared" si="39"/>
        <v>管理岗</v>
      </c>
      <c r="E493" s="7" t="str">
        <f>"金万姜"</f>
        <v>金万姜</v>
      </c>
      <c r="F493" s="7" t="s">
        <v>39</v>
      </c>
      <c r="G493" s="7"/>
    </row>
    <row r="494" ht="18" customHeight="1" spans="1:7">
      <c r="A494" s="7">
        <v>492</v>
      </c>
      <c r="B494" s="7" t="str">
        <f t="shared" si="40"/>
        <v>0201</v>
      </c>
      <c r="C494" s="7" t="s">
        <v>38</v>
      </c>
      <c r="D494" s="7" t="str">
        <f t="shared" si="39"/>
        <v>管理岗</v>
      </c>
      <c r="E494" s="7" t="str">
        <f>"崔媛媛"</f>
        <v>崔媛媛</v>
      </c>
      <c r="F494" s="7" t="s">
        <v>39</v>
      </c>
      <c r="G494" s="7"/>
    </row>
    <row r="495" ht="18" customHeight="1" spans="1:7">
      <c r="A495" s="7">
        <v>493</v>
      </c>
      <c r="B495" s="7" t="str">
        <f t="shared" si="40"/>
        <v>0201</v>
      </c>
      <c r="C495" s="7" t="s">
        <v>38</v>
      </c>
      <c r="D495" s="7" t="str">
        <f t="shared" si="39"/>
        <v>管理岗</v>
      </c>
      <c r="E495" s="7" t="str">
        <f>"符传辉"</f>
        <v>符传辉</v>
      </c>
      <c r="F495" s="7" t="s">
        <v>39</v>
      </c>
      <c r="G495" s="7"/>
    </row>
    <row r="496" ht="18" customHeight="1" spans="1:7">
      <c r="A496" s="7">
        <v>494</v>
      </c>
      <c r="B496" s="7" t="str">
        <f t="shared" si="40"/>
        <v>0201</v>
      </c>
      <c r="C496" s="7" t="s">
        <v>38</v>
      </c>
      <c r="D496" s="7" t="str">
        <f t="shared" si="39"/>
        <v>管理岗</v>
      </c>
      <c r="E496" s="7" t="str">
        <f>"张梦"</f>
        <v>张梦</v>
      </c>
      <c r="F496" s="7" t="s">
        <v>39</v>
      </c>
      <c r="G496" s="7"/>
    </row>
    <row r="497" ht="18" customHeight="1" spans="1:7">
      <c r="A497" s="7">
        <v>495</v>
      </c>
      <c r="B497" s="7" t="str">
        <f t="shared" si="40"/>
        <v>0201</v>
      </c>
      <c r="C497" s="7" t="s">
        <v>38</v>
      </c>
      <c r="D497" s="7" t="str">
        <f t="shared" si="39"/>
        <v>管理岗</v>
      </c>
      <c r="E497" s="7" t="str">
        <f>"史美学"</f>
        <v>史美学</v>
      </c>
      <c r="F497" s="7" t="s">
        <v>39</v>
      </c>
      <c r="G497" s="7"/>
    </row>
    <row r="498" ht="18" customHeight="1" spans="1:7">
      <c r="A498" s="7">
        <v>496</v>
      </c>
      <c r="B498" s="7" t="str">
        <f t="shared" si="40"/>
        <v>0201</v>
      </c>
      <c r="C498" s="7" t="s">
        <v>38</v>
      </c>
      <c r="D498" s="7" t="str">
        <f t="shared" si="39"/>
        <v>管理岗</v>
      </c>
      <c r="E498" s="7" t="str">
        <f>"张晶晶"</f>
        <v>张晶晶</v>
      </c>
      <c r="F498" s="7" t="s">
        <v>39</v>
      </c>
      <c r="G498" s="7"/>
    </row>
    <row r="499" ht="18" customHeight="1" spans="1:7">
      <c r="A499" s="7">
        <v>497</v>
      </c>
      <c r="B499" s="7" t="str">
        <f t="shared" si="40"/>
        <v>0201</v>
      </c>
      <c r="C499" s="7" t="s">
        <v>38</v>
      </c>
      <c r="D499" s="7" t="str">
        <f t="shared" si="39"/>
        <v>管理岗</v>
      </c>
      <c r="E499" s="7" t="str">
        <f>"郭琰"</f>
        <v>郭琰</v>
      </c>
      <c r="F499" s="7" t="s">
        <v>39</v>
      </c>
      <c r="G499" s="7"/>
    </row>
    <row r="500" ht="18" customHeight="1" spans="1:7">
      <c r="A500" s="7">
        <v>498</v>
      </c>
      <c r="B500" s="7" t="str">
        <f t="shared" si="40"/>
        <v>0201</v>
      </c>
      <c r="C500" s="7" t="s">
        <v>38</v>
      </c>
      <c r="D500" s="7" t="str">
        <f t="shared" si="39"/>
        <v>管理岗</v>
      </c>
      <c r="E500" s="7" t="str">
        <f>"李周铭"</f>
        <v>李周铭</v>
      </c>
      <c r="F500" s="7" t="s">
        <v>39</v>
      </c>
      <c r="G500" s="7"/>
    </row>
    <row r="501" ht="18" customHeight="1" spans="1:7">
      <c r="A501" s="7">
        <v>499</v>
      </c>
      <c r="B501" s="7" t="str">
        <f t="shared" si="40"/>
        <v>0201</v>
      </c>
      <c r="C501" s="7" t="s">
        <v>38</v>
      </c>
      <c r="D501" s="7" t="str">
        <f t="shared" si="39"/>
        <v>管理岗</v>
      </c>
      <c r="E501" s="7" t="str">
        <f>"李雅丽"</f>
        <v>李雅丽</v>
      </c>
      <c r="F501" s="7" t="s">
        <v>39</v>
      </c>
      <c r="G501" s="7"/>
    </row>
    <row r="502" ht="18" customHeight="1" spans="1:7">
      <c r="A502" s="7">
        <v>500</v>
      </c>
      <c r="B502" s="7" t="str">
        <f t="shared" si="40"/>
        <v>0201</v>
      </c>
      <c r="C502" s="7" t="s">
        <v>38</v>
      </c>
      <c r="D502" s="7" t="str">
        <f t="shared" si="39"/>
        <v>管理岗</v>
      </c>
      <c r="E502" s="7" t="str">
        <f>"蒋雯秀"</f>
        <v>蒋雯秀</v>
      </c>
      <c r="F502" s="7" t="s">
        <v>39</v>
      </c>
      <c r="G502" s="7"/>
    </row>
    <row r="503" ht="18" customHeight="1" spans="1:7">
      <c r="A503" s="7">
        <v>501</v>
      </c>
      <c r="B503" s="7" t="str">
        <f t="shared" si="40"/>
        <v>0201</v>
      </c>
      <c r="C503" s="7" t="s">
        <v>38</v>
      </c>
      <c r="D503" s="7" t="str">
        <f t="shared" si="39"/>
        <v>管理岗</v>
      </c>
      <c r="E503" s="7" t="str">
        <f>"李欣欣"</f>
        <v>李欣欣</v>
      </c>
      <c r="F503" s="7" t="s">
        <v>39</v>
      </c>
      <c r="G503" s="7"/>
    </row>
    <row r="504" ht="18" customHeight="1" spans="1:7">
      <c r="A504" s="7">
        <v>502</v>
      </c>
      <c r="B504" s="7" t="str">
        <f t="shared" si="40"/>
        <v>0201</v>
      </c>
      <c r="C504" s="7" t="s">
        <v>38</v>
      </c>
      <c r="D504" s="7" t="str">
        <f t="shared" si="39"/>
        <v>管理岗</v>
      </c>
      <c r="E504" s="7" t="str">
        <f>"隗广科"</f>
        <v>隗广科</v>
      </c>
      <c r="F504" s="7" t="s">
        <v>39</v>
      </c>
      <c r="G504" s="7"/>
    </row>
    <row r="505" ht="18" customHeight="1" spans="1:7">
      <c r="A505" s="7">
        <v>503</v>
      </c>
      <c r="B505" s="7" t="str">
        <f t="shared" si="40"/>
        <v>0201</v>
      </c>
      <c r="C505" s="7" t="s">
        <v>38</v>
      </c>
      <c r="D505" s="7" t="str">
        <f t="shared" si="39"/>
        <v>管理岗</v>
      </c>
      <c r="E505" s="7" t="str">
        <f>"吴布宇"</f>
        <v>吴布宇</v>
      </c>
      <c r="F505" s="7" t="s">
        <v>39</v>
      </c>
      <c r="G505" s="7"/>
    </row>
    <row r="506" ht="18" customHeight="1" spans="1:7">
      <c r="A506" s="7">
        <v>504</v>
      </c>
      <c r="B506" s="7" t="str">
        <f t="shared" si="40"/>
        <v>0201</v>
      </c>
      <c r="C506" s="7" t="s">
        <v>38</v>
      </c>
      <c r="D506" s="7" t="str">
        <f t="shared" si="39"/>
        <v>管理岗</v>
      </c>
      <c r="E506" s="7" t="str">
        <f>"郭宵汝"</f>
        <v>郭宵汝</v>
      </c>
      <c r="F506" s="7" t="s">
        <v>39</v>
      </c>
      <c r="G506" s="7"/>
    </row>
    <row r="507" ht="18" customHeight="1" spans="1:7">
      <c r="A507" s="7">
        <v>505</v>
      </c>
      <c r="B507" s="7" t="str">
        <f t="shared" si="40"/>
        <v>0201</v>
      </c>
      <c r="C507" s="7" t="s">
        <v>38</v>
      </c>
      <c r="D507" s="7" t="str">
        <f t="shared" si="39"/>
        <v>管理岗</v>
      </c>
      <c r="E507" s="7" t="str">
        <f>"谭双英"</f>
        <v>谭双英</v>
      </c>
      <c r="F507" s="7" t="s">
        <v>39</v>
      </c>
      <c r="G507" s="7"/>
    </row>
    <row r="508" ht="18" customHeight="1" spans="1:7">
      <c r="A508" s="7">
        <v>506</v>
      </c>
      <c r="B508" s="7" t="str">
        <f t="shared" si="40"/>
        <v>0201</v>
      </c>
      <c r="C508" s="7" t="s">
        <v>38</v>
      </c>
      <c r="D508" s="7" t="str">
        <f t="shared" si="39"/>
        <v>管理岗</v>
      </c>
      <c r="E508" s="7" t="str">
        <f>"谭琪"</f>
        <v>谭琪</v>
      </c>
      <c r="F508" s="7" t="s">
        <v>39</v>
      </c>
      <c r="G508" s="7"/>
    </row>
    <row r="509" ht="18" customHeight="1" spans="1:7">
      <c r="A509" s="7">
        <v>507</v>
      </c>
      <c r="B509" s="7" t="str">
        <f t="shared" si="40"/>
        <v>0201</v>
      </c>
      <c r="C509" s="7" t="s">
        <v>38</v>
      </c>
      <c r="D509" s="7" t="str">
        <f t="shared" si="39"/>
        <v>管理岗</v>
      </c>
      <c r="E509" s="7" t="str">
        <f>"金鑫"</f>
        <v>金鑫</v>
      </c>
      <c r="F509" s="7" t="s">
        <v>39</v>
      </c>
      <c r="G509" s="7"/>
    </row>
    <row r="510" ht="18" customHeight="1" spans="1:7">
      <c r="A510" s="7">
        <v>508</v>
      </c>
      <c r="B510" s="7" t="str">
        <f t="shared" si="40"/>
        <v>0201</v>
      </c>
      <c r="C510" s="7" t="s">
        <v>38</v>
      </c>
      <c r="D510" s="7" t="str">
        <f t="shared" si="39"/>
        <v>管理岗</v>
      </c>
      <c r="E510" s="7" t="str">
        <f>"赵晗舒"</f>
        <v>赵晗舒</v>
      </c>
      <c r="F510" s="7" t="s">
        <v>39</v>
      </c>
      <c r="G510" s="7"/>
    </row>
    <row r="511" ht="18" customHeight="1" spans="1:7">
      <c r="A511" s="7">
        <v>509</v>
      </c>
      <c r="B511" s="7" t="str">
        <f t="shared" si="40"/>
        <v>0201</v>
      </c>
      <c r="C511" s="7" t="s">
        <v>38</v>
      </c>
      <c r="D511" s="7" t="str">
        <f t="shared" si="39"/>
        <v>管理岗</v>
      </c>
      <c r="E511" s="7" t="str">
        <f>"何婆保"</f>
        <v>何婆保</v>
      </c>
      <c r="F511" s="7" t="s">
        <v>39</v>
      </c>
      <c r="G511" s="7"/>
    </row>
    <row r="512" ht="18" customHeight="1" spans="1:7">
      <c r="A512" s="7">
        <v>510</v>
      </c>
      <c r="B512" s="7" t="str">
        <f t="shared" si="40"/>
        <v>0201</v>
      </c>
      <c r="C512" s="7" t="s">
        <v>38</v>
      </c>
      <c r="D512" s="7" t="str">
        <f t="shared" si="39"/>
        <v>管理岗</v>
      </c>
      <c r="E512" s="7" t="str">
        <f>"庄璇"</f>
        <v>庄璇</v>
      </c>
      <c r="F512" s="7" t="s">
        <v>39</v>
      </c>
      <c r="G512" s="7"/>
    </row>
    <row r="513" ht="18" customHeight="1" spans="1:7">
      <c r="A513" s="7">
        <v>511</v>
      </c>
      <c r="B513" s="7" t="str">
        <f t="shared" si="40"/>
        <v>0201</v>
      </c>
      <c r="C513" s="7" t="s">
        <v>38</v>
      </c>
      <c r="D513" s="7" t="str">
        <f t="shared" si="39"/>
        <v>管理岗</v>
      </c>
      <c r="E513" s="7" t="str">
        <f>"王周雯"</f>
        <v>王周雯</v>
      </c>
      <c r="F513" s="7" t="s">
        <v>39</v>
      </c>
      <c r="G513" s="7"/>
    </row>
    <row r="514" ht="18" customHeight="1" spans="1:7">
      <c r="A514" s="7">
        <v>512</v>
      </c>
      <c r="B514" s="7" t="str">
        <f t="shared" si="40"/>
        <v>0201</v>
      </c>
      <c r="C514" s="7" t="s">
        <v>38</v>
      </c>
      <c r="D514" s="7" t="str">
        <f t="shared" si="39"/>
        <v>管理岗</v>
      </c>
      <c r="E514" s="7" t="str">
        <f>"伍海波"</f>
        <v>伍海波</v>
      </c>
      <c r="F514" s="7" t="s">
        <v>39</v>
      </c>
      <c r="G514" s="7"/>
    </row>
    <row r="515" ht="18" customHeight="1" spans="1:7">
      <c r="A515" s="7">
        <v>513</v>
      </c>
      <c r="B515" s="7" t="str">
        <f t="shared" si="40"/>
        <v>0201</v>
      </c>
      <c r="C515" s="7" t="s">
        <v>38</v>
      </c>
      <c r="D515" s="7" t="str">
        <f t="shared" si="39"/>
        <v>管理岗</v>
      </c>
      <c r="E515" s="7" t="str">
        <f>"赵楚薇"</f>
        <v>赵楚薇</v>
      </c>
      <c r="F515" s="7" t="s">
        <v>39</v>
      </c>
      <c r="G515" s="7"/>
    </row>
    <row r="516" ht="18" customHeight="1" spans="1:7">
      <c r="A516" s="7">
        <v>514</v>
      </c>
      <c r="B516" s="7" t="str">
        <f t="shared" si="40"/>
        <v>0201</v>
      </c>
      <c r="C516" s="7" t="s">
        <v>38</v>
      </c>
      <c r="D516" s="7" t="s">
        <v>40</v>
      </c>
      <c r="E516" s="7" t="str">
        <f>"陈乙玲"</f>
        <v>陈乙玲</v>
      </c>
      <c r="F516" s="7" t="s">
        <v>39</v>
      </c>
      <c r="G516" s="7"/>
    </row>
    <row r="517" ht="18" customHeight="1" spans="1:7">
      <c r="A517" s="7">
        <v>515</v>
      </c>
      <c r="B517" s="7" t="str">
        <f t="shared" si="40"/>
        <v>0201</v>
      </c>
      <c r="C517" s="7" t="s">
        <v>38</v>
      </c>
      <c r="D517" s="7" t="str">
        <f t="shared" ref="D517:D580" si="41">"管理岗"</f>
        <v>管理岗</v>
      </c>
      <c r="E517" s="7" t="str">
        <f>"陈金鹏"</f>
        <v>陈金鹏</v>
      </c>
      <c r="F517" s="7" t="s">
        <v>39</v>
      </c>
      <c r="G517" s="7"/>
    </row>
    <row r="518" ht="18" customHeight="1" spans="1:7">
      <c r="A518" s="7">
        <v>516</v>
      </c>
      <c r="B518" s="7" t="str">
        <f t="shared" si="40"/>
        <v>0201</v>
      </c>
      <c r="C518" s="7" t="s">
        <v>38</v>
      </c>
      <c r="D518" s="7" t="str">
        <f t="shared" si="41"/>
        <v>管理岗</v>
      </c>
      <c r="E518" s="7" t="str">
        <f>"鞠政宸"</f>
        <v>鞠政宸</v>
      </c>
      <c r="F518" s="7" t="s">
        <v>39</v>
      </c>
      <c r="G518" s="7"/>
    </row>
    <row r="519" ht="18" customHeight="1" spans="1:7">
      <c r="A519" s="7">
        <v>517</v>
      </c>
      <c r="B519" s="7" t="str">
        <f t="shared" si="40"/>
        <v>0201</v>
      </c>
      <c r="C519" s="7" t="s">
        <v>38</v>
      </c>
      <c r="D519" s="7" t="str">
        <f t="shared" si="41"/>
        <v>管理岗</v>
      </c>
      <c r="E519" s="7" t="str">
        <f>"罗嘉腾"</f>
        <v>罗嘉腾</v>
      </c>
      <c r="F519" s="7" t="s">
        <v>39</v>
      </c>
      <c r="G519" s="7"/>
    </row>
    <row r="520" ht="18" customHeight="1" spans="1:7">
      <c r="A520" s="7">
        <v>518</v>
      </c>
      <c r="B520" s="7" t="str">
        <f t="shared" si="40"/>
        <v>0201</v>
      </c>
      <c r="C520" s="7" t="s">
        <v>38</v>
      </c>
      <c r="D520" s="7" t="str">
        <f t="shared" si="41"/>
        <v>管理岗</v>
      </c>
      <c r="E520" s="7" t="str">
        <f>"邓大雨"</f>
        <v>邓大雨</v>
      </c>
      <c r="F520" s="7" t="s">
        <v>39</v>
      </c>
      <c r="G520" s="7"/>
    </row>
    <row r="521" ht="18" customHeight="1" spans="1:7">
      <c r="A521" s="7">
        <v>519</v>
      </c>
      <c r="B521" s="7" t="str">
        <f t="shared" si="40"/>
        <v>0201</v>
      </c>
      <c r="C521" s="7" t="s">
        <v>38</v>
      </c>
      <c r="D521" s="7" t="str">
        <f t="shared" si="41"/>
        <v>管理岗</v>
      </c>
      <c r="E521" s="7" t="str">
        <f>"任朱彬"</f>
        <v>任朱彬</v>
      </c>
      <c r="F521" s="7" t="s">
        <v>39</v>
      </c>
      <c r="G521" s="7"/>
    </row>
    <row r="522" ht="18" customHeight="1" spans="1:7">
      <c r="A522" s="7">
        <v>520</v>
      </c>
      <c r="B522" s="7" t="str">
        <f t="shared" si="40"/>
        <v>0201</v>
      </c>
      <c r="C522" s="7" t="s">
        <v>38</v>
      </c>
      <c r="D522" s="7" t="str">
        <f t="shared" si="41"/>
        <v>管理岗</v>
      </c>
      <c r="E522" s="7" t="str">
        <f>"赵凯凤"</f>
        <v>赵凯凤</v>
      </c>
      <c r="F522" s="7" t="s">
        <v>39</v>
      </c>
      <c r="G522" s="7"/>
    </row>
    <row r="523" ht="18" customHeight="1" spans="1:7">
      <c r="A523" s="7">
        <v>521</v>
      </c>
      <c r="B523" s="7" t="str">
        <f t="shared" si="40"/>
        <v>0201</v>
      </c>
      <c r="C523" s="7" t="s">
        <v>38</v>
      </c>
      <c r="D523" s="7" t="str">
        <f t="shared" si="41"/>
        <v>管理岗</v>
      </c>
      <c r="E523" s="7" t="str">
        <f>"侯明明"</f>
        <v>侯明明</v>
      </c>
      <c r="F523" s="7" t="s">
        <v>39</v>
      </c>
      <c r="G523" s="7"/>
    </row>
    <row r="524" ht="18" customHeight="1" spans="1:7">
      <c r="A524" s="7">
        <v>522</v>
      </c>
      <c r="B524" s="7" t="str">
        <f t="shared" si="40"/>
        <v>0201</v>
      </c>
      <c r="C524" s="7" t="s">
        <v>38</v>
      </c>
      <c r="D524" s="7" t="str">
        <f t="shared" si="41"/>
        <v>管理岗</v>
      </c>
      <c r="E524" s="7" t="str">
        <f>"刘永波"</f>
        <v>刘永波</v>
      </c>
      <c r="F524" s="7" t="s">
        <v>39</v>
      </c>
      <c r="G524" s="7"/>
    </row>
    <row r="525" ht="18" customHeight="1" spans="1:7">
      <c r="A525" s="7">
        <v>523</v>
      </c>
      <c r="B525" s="7" t="str">
        <f t="shared" si="40"/>
        <v>0201</v>
      </c>
      <c r="C525" s="7" t="s">
        <v>38</v>
      </c>
      <c r="D525" s="7" t="str">
        <f t="shared" si="41"/>
        <v>管理岗</v>
      </c>
      <c r="E525" s="7" t="str">
        <f>"李青"</f>
        <v>李青</v>
      </c>
      <c r="F525" s="7" t="s">
        <v>39</v>
      </c>
      <c r="G525" s="7"/>
    </row>
    <row r="526" ht="18" customHeight="1" spans="1:7">
      <c r="A526" s="7">
        <v>524</v>
      </c>
      <c r="B526" s="7" t="str">
        <f t="shared" si="40"/>
        <v>0201</v>
      </c>
      <c r="C526" s="7" t="s">
        <v>38</v>
      </c>
      <c r="D526" s="7" t="str">
        <f t="shared" si="41"/>
        <v>管理岗</v>
      </c>
      <c r="E526" s="7" t="str">
        <f>"张文文"</f>
        <v>张文文</v>
      </c>
      <c r="F526" s="7" t="s">
        <v>39</v>
      </c>
      <c r="G526" s="7"/>
    </row>
    <row r="527" ht="18" customHeight="1" spans="1:7">
      <c r="A527" s="7">
        <v>525</v>
      </c>
      <c r="B527" s="7" t="str">
        <f t="shared" si="40"/>
        <v>0201</v>
      </c>
      <c r="C527" s="7" t="s">
        <v>38</v>
      </c>
      <c r="D527" s="7" t="str">
        <f t="shared" si="41"/>
        <v>管理岗</v>
      </c>
      <c r="E527" s="7" t="str">
        <f>"朱昆宇"</f>
        <v>朱昆宇</v>
      </c>
      <c r="F527" s="7" t="s">
        <v>39</v>
      </c>
      <c r="G527" s="7"/>
    </row>
    <row r="528" ht="18" customHeight="1" spans="1:7">
      <c r="A528" s="7">
        <v>526</v>
      </c>
      <c r="B528" s="7" t="str">
        <f t="shared" si="40"/>
        <v>0201</v>
      </c>
      <c r="C528" s="7" t="s">
        <v>38</v>
      </c>
      <c r="D528" s="7" t="str">
        <f t="shared" si="41"/>
        <v>管理岗</v>
      </c>
      <c r="E528" s="7" t="str">
        <f>"李天秀"</f>
        <v>李天秀</v>
      </c>
      <c r="F528" s="7" t="s">
        <v>39</v>
      </c>
      <c r="G528" s="7"/>
    </row>
    <row r="529" ht="18" customHeight="1" spans="1:7">
      <c r="A529" s="7">
        <v>527</v>
      </c>
      <c r="B529" s="7" t="str">
        <f t="shared" si="40"/>
        <v>0201</v>
      </c>
      <c r="C529" s="7" t="s">
        <v>38</v>
      </c>
      <c r="D529" s="7" t="str">
        <f t="shared" si="41"/>
        <v>管理岗</v>
      </c>
      <c r="E529" s="7" t="str">
        <f>"姚坤志"</f>
        <v>姚坤志</v>
      </c>
      <c r="F529" s="7" t="s">
        <v>39</v>
      </c>
      <c r="G529" s="7"/>
    </row>
    <row r="530" ht="18" customHeight="1" spans="1:7">
      <c r="A530" s="7">
        <v>528</v>
      </c>
      <c r="B530" s="7" t="str">
        <f t="shared" si="40"/>
        <v>0201</v>
      </c>
      <c r="C530" s="7" t="s">
        <v>38</v>
      </c>
      <c r="D530" s="7" t="str">
        <f t="shared" si="41"/>
        <v>管理岗</v>
      </c>
      <c r="E530" s="7" t="str">
        <f>"段倩雯"</f>
        <v>段倩雯</v>
      </c>
      <c r="F530" s="7" t="s">
        <v>39</v>
      </c>
      <c r="G530" s="7"/>
    </row>
    <row r="531" ht="18" customHeight="1" spans="1:7">
      <c r="A531" s="7">
        <v>529</v>
      </c>
      <c r="B531" s="7" t="str">
        <f t="shared" si="40"/>
        <v>0201</v>
      </c>
      <c r="C531" s="7" t="s">
        <v>38</v>
      </c>
      <c r="D531" s="7" t="str">
        <f t="shared" si="41"/>
        <v>管理岗</v>
      </c>
      <c r="E531" s="7" t="str">
        <f>"高苗苗"</f>
        <v>高苗苗</v>
      </c>
      <c r="F531" s="7" t="s">
        <v>39</v>
      </c>
      <c r="G531" s="7"/>
    </row>
    <row r="532" ht="18" customHeight="1" spans="1:7">
      <c r="A532" s="7">
        <v>530</v>
      </c>
      <c r="B532" s="7" t="str">
        <f t="shared" si="40"/>
        <v>0201</v>
      </c>
      <c r="C532" s="7" t="s">
        <v>38</v>
      </c>
      <c r="D532" s="7" t="str">
        <f t="shared" si="41"/>
        <v>管理岗</v>
      </c>
      <c r="E532" s="7" t="str">
        <f>"文静"</f>
        <v>文静</v>
      </c>
      <c r="F532" s="7" t="s">
        <v>39</v>
      </c>
      <c r="G532" s="7"/>
    </row>
    <row r="533" ht="18" customHeight="1" spans="1:7">
      <c r="A533" s="7">
        <v>531</v>
      </c>
      <c r="B533" s="7" t="str">
        <f t="shared" si="40"/>
        <v>0201</v>
      </c>
      <c r="C533" s="7" t="s">
        <v>38</v>
      </c>
      <c r="D533" s="7" t="str">
        <f t="shared" si="41"/>
        <v>管理岗</v>
      </c>
      <c r="E533" s="7" t="str">
        <f>"陈大娟"</f>
        <v>陈大娟</v>
      </c>
      <c r="F533" s="7" t="s">
        <v>39</v>
      </c>
      <c r="G533" s="7"/>
    </row>
    <row r="534" ht="18" customHeight="1" spans="1:7">
      <c r="A534" s="7">
        <v>532</v>
      </c>
      <c r="B534" s="7" t="str">
        <f t="shared" si="40"/>
        <v>0201</v>
      </c>
      <c r="C534" s="7" t="s">
        <v>38</v>
      </c>
      <c r="D534" s="7" t="str">
        <f t="shared" si="41"/>
        <v>管理岗</v>
      </c>
      <c r="E534" s="7" t="str">
        <f>"李佳骏"</f>
        <v>李佳骏</v>
      </c>
      <c r="F534" s="7" t="s">
        <v>39</v>
      </c>
      <c r="G534" s="7"/>
    </row>
    <row r="535" ht="18" customHeight="1" spans="1:7">
      <c r="A535" s="7">
        <v>533</v>
      </c>
      <c r="B535" s="7" t="str">
        <f t="shared" si="40"/>
        <v>0201</v>
      </c>
      <c r="C535" s="7" t="s">
        <v>38</v>
      </c>
      <c r="D535" s="7" t="str">
        <f t="shared" si="41"/>
        <v>管理岗</v>
      </c>
      <c r="E535" s="7" t="str">
        <f>"蒋满意"</f>
        <v>蒋满意</v>
      </c>
      <c r="F535" s="7" t="s">
        <v>39</v>
      </c>
      <c r="G535" s="7"/>
    </row>
    <row r="536" ht="18" customHeight="1" spans="1:7">
      <c r="A536" s="7">
        <v>534</v>
      </c>
      <c r="B536" s="7" t="str">
        <f t="shared" si="40"/>
        <v>0201</v>
      </c>
      <c r="C536" s="7" t="s">
        <v>38</v>
      </c>
      <c r="D536" s="7" t="str">
        <f t="shared" si="41"/>
        <v>管理岗</v>
      </c>
      <c r="E536" s="7" t="str">
        <f>"寇明睿"</f>
        <v>寇明睿</v>
      </c>
      <c r="F536" s="7" t="s">
        <v>39</v>
      </c>
      <c r="G536" s="7"/>
    </row>
    <row r="537" ht="18" customHeight="1" spans="1:7">
      <c r="A537" s="7">
        <v>535</v>
      </c>
      <c r="B537" s="7" t="str">
        <f t="shared" si="40"/>
        <v>0201</v>
      </c>
      <c r="C537" s="7" t="s">
        <v>38</v>
      </c>
      <c r="D537" s="7" t="str">
        <f t="shared" si="41"/>
        <v>管理岗</v>
      </c>
      <c r="E537" s="7" t="str">
        <f>"彭逊予"</f>
        <v>彭逊予</v>
      </c>
      <c r="F537" s="7" t="s">
        <v>39</v>
      </c>
      <c r="G537" s="7"/>
    </row>
    <row r="538" ht="18" customHeight="1" spans="1:7">
      <c r="A538" s="7">
        <v>536</v>
      </c>
      <c r="B538" s="7" t="str">
        <f t="shared" si="40"/>
        <v>0201</v>
      </c>
      <c r="C538" s="7" t="s">
        <v>38</v>
      </c>
      <c r="D538" s="7" t="str">
        <f t="shared" si="41"/>
        <v>管理岗</v>
      </c>
      <c r="E538" s="7" t="str">
        <f>"龙紫洁"</f>
        <v>龙紫洁</v>
      </c>
      <c r="F538" s="7" t="s">
        <v>39</v>
      </c>
      <c r="G538" s="7"/>
    </row>
    <row r="539" ht="18" customHeight="1" spans="1:7">
      <c r="A539" s="7">
        <v>537</v>
      </c>
      <c r="B539" s="7" t="str">
        <f t="shared" si="40"/>
        <v>0201</v>
      </c>
      <c r="C539" s="7" t="s">
        <v>38</v>
      </c>
      <c r="D539" s="7" t="str">
        <f t="shared" si="41"/>
        <v>管理岗</v>
      </c>
      <c r="E539" s="7" t="str">
        <f>"刘业莹"</f>
        <v>刘业莹</v>
      </c>
      <c r="F539" s="7" t="s">
        <v>39</v>
      </c>
      <c r="G539" s="7"/>
    </row>
    <row r="540" ht="18" customHeight="1" spans="1:7">
      <c r="A540" s="7">
        <v>538</v>
      </c>
      <c r="B540" s="7" t="str">
        <f t="shared" si="40"/>
        <v>0201</v>
      </c>
      <c r="C540" s="7" t="s">
        <v>38</v>
      </c>
      <c r="D540" s="7" t="str">
        <f t="shared" si="41"/>
        <v>管理岗</v>
      </c>
      <c r="E540" s="7" t="str">
        <f>"董苗苗"</f>
        <v>董苗苗</v>
      </c>
      <c r="F540" s="7" t="s">
        <v>39</v>
      </c>
      <c r="G540" s="7"/>
    </row>
    <row r="541" ht="18" customHeight="1" spans="1:7">
      <c r="A541" s="7">
        <v>539</v>
      </c>
      <c r="B541" s="7" t="str">
        <f t="shared" si="40"/>
        <v>0201</v>
      </c>
      <c r="C541" s="7" t="s">
        <v>38</v>
      </c>
      <c r="D541" s="7" t="str">
        <f t="shared" si="41"/>
        <v>管理岗</v>
      </c>
      <c r="E541" s="7" t="str">
        <f>"张岭誉"</f>
        <v>张岭誉</v>
      </c>
      <c r="F541" s="7" t="s">
        <v>39</v>
      </c>
      <c r="G541" s="7"/>
    </row>
    <row r="542" ht="18" customHeight="1" spans="1:7">
      <c r="A542" s="7">
        <v>540</v>
      </c>
      <c r="B542" s="7" t="str">
        <f t="shared" si="40"/>
        <v>0201</v>
      </c>
      <c r="C542" s="7" t="s">
        <v>38</v>
      </c>
      <c r="D542" s="7" t="str">
        <f t="shared" si="41"/>
        <v>管理岗</v>
      </c>
      <c r="E542" s="7" t="str">
        <f>"郝佳"</f>
        <v>郝佳</v>
      </c>
      <c r="F542" s="7" t="s">
        <v>39</v>
      </c>
      <c r="G542" s="7"/>
    </row>
    <row r="543" ht="18" customHeight="1" spans="1:7">
      <c r="A543" s="7">
        <v>541</v>
      </c>
      <c r="B543" s="7" t="str">
        <f t="shared" si="40"/>
        <v>0201</v>
      </c>
      <c r="C543" s="7" t="s">
        <v>38</v>
      </c>
      <c r="D543" s="7" t="str">
        <f t="shared" si="41"/>
        <v>管理岗</v>
      </c>
      <c r="E543" s="7" t="str">
        <f>"杨涛"</f>
        <v>杨涛</v>
      </c>
      <c r="F543" s="7" t="s">
        <v>39</v>
      </c>
      <c r="G543" s="7"/>
    </row>
    <row r="544" ht="18" customHeight="1" spans="1:7">
      <c r="A544" s="7">
        <v>542</v>
      </c>
      <c r="B544" s="7" t="str">
        <f t="shared" si="40"/>
        <v>0201</v>
      </c>
      <c r="C544" s="7" t="s">
        <v>38</v>
      </c>
      <c r="D544" s="7" t="str">
        <f t="shared" si="41"/>
        <v>管理岗</v>
      </c>
      <c r="E544" s="7" t="str">
        <f>"王雨"</f>
        <v>王雨</v>
      </c>
      <c r="F544" s="7" t="s">
        <v>39</v>
      </c>
      <c r="G544" s="7"/>
    </row>
    <row r="545" ht="18" customHeight="1" spans="1:7">
      <c r="A545" s="7">
        <v>543</v>
      </c>
      <c r="B545" s="7" t="str">
        <f t="shared" si="40"/>
        <v>0201</v>
      </c>
      <c r="C545" s="7" t="s">
        <v>38</v>
      </c>
      <c r="D545" s="7" t="str">
        <f t="shared" si="41"/>
        <v>管理岗</v>
      </c>
      <c r="E545" s="7" t="str">
        <f>"冯杰"</f>
        <v>冯杰</v>
      </c>
      <c r="F545" s="7" t="s">
        <v>39</v>
      </c>
      <c r="G545" s="7"/>
    </row>
    <row r="546" ht="18" customHeight="1" spans="1:7">
      <c r="A546" s="7">
        <v>544</v>
      </c>
      <c r="B546" s="7" t="str">
        <f t="shared" si="40"/>
        <v>0201</v>
      </c>
      <c r="C546" s="7" t="s">
        <v>38</v>
      </c>
      <c r="D546" s="7" t="str">
        <f t="shared" si="41"/>
        <v>管理岗</v>
      </c>
      <c r="E546" s="7" t="str">
        <f>"丁军伟"</f>
        <v>丁军伟</v>
      </c>
      <c r="F546" s="7" t="s">
        <v>39</v>
      </c>
      <c r="G546" s="7"/>
    </row>
    <row r="547" ht="18" customHeight="1" spans="1:7">
      <c r="A547" s="7">
        <v>545</v>
      </c>
      <c r="B547" s="7" t="str">
        <f t="shared" si="40"/>
        <v>0201</v>
      </c>
      <c r="C547" s="7" t="s">
        <v>38</v>
      </c>
      <c r="D547" s="7" t="str">
        <f t="shared" si="41"/>
        <v>管理岗</v>
      </c>
      <c r="E547" s="7" t="str">
        <f>"姚瑶"</f>
        <v>姚瑶</v>
      </c>
      <c r="F547" s="7" t="s">
        <v>39</v>
      </c>
      <c r="G547" s="7"/>
    </row>
    <row r="548" ht="18" customHeight="1" spans="1:7">
      <c r="A548" s="7">
        <v>546</v>
      </c>
      <c r="B548" s="7" t="str">
        <f t="shared" si="40"/>
        <v>0201</v>
      </c>
      <c r="C548" s="7" t="s">
        <v>38</v>
      </c>
      <c r="D548" s="7" t="str">
        <f t="shared" si="41"/>
        <v>管理岗</v>
      </c>
      <c r="E548" s="7" t="str">
        <f>"王菲"</f>
        <v>王菲</v>
      </c>
      <c r="F548" s="7" t="s">
        <v>39</v>
      </c>
      <c r="G548" s="7"/>
    </row>
    <row r="549" ht="18" customHeight="1" spans="1:7">
      <c r="A549" s="7">
        <v>547</v>
      </c>
      <c r="B549" s="7" t="str">
        <f t="shared" si="40"/>
        <v>0201</v>
      </c>
      <c r="C549" s="7" t="s">
        <v>38</v>
      </c>
      <c r="D549" s="7" t="str">
        <f t="shared" si="41"/>
        <v>管理岗</v>
      </c>
      <c r="E549" s="7" t="str">
        <f>"马国纹"</f>
        <v>马国纹</v>
      </c>
      <c r="F549" s="7" t="s">
        <v>39</v>
      </c>
      <c r="G549" s="7"/>
    </row>
    <row r="550" ht="18" customHeight="1" spans="1:7">
      <c r="A550" s="7">
        <v>548</v>
      </c>
      <c r="B550" s="7" t="str">
        <f t="shared" si="40"/>
        <v>0201</v>
      </c>
      <c r="C550" s="7" t="s">
        <v>38</v>
      </c>
      <c r="D550" s="7" t="str">
        <f t="shared" si="41"/>
        <v>管理岗</v>
      </c>
      <c r="E550" s="7" t="str">
        <f>"卢勇珍"</f>
        <v>卢勇珍</v>
      </c>
      <c r="F550" s="7" t="s">
        <v>39</v>
      </c>
      <c r="G550" s="7"/>
    </row>
    <row r="551" ht="18" customHeight="1" spans="1:7">
      <c r="A551" s="7">
        <v>549</v>
      </c>
      <c r="B551" s="7" t="str">
        <f t="shared" si="40"/>
        <v>0201</v>
      </c>
      <c r="C551" s="7" t="s">
        <v>38</v>
      </c>
      <c r="D551" s="7" t="str">
        <f t="shared" si="41"/>
        <v>管理岗</v>
      </c>
      <c r="E551" s="7" t="str">
        <f>"蒙智浩"</f>
        <v>蒙智浩</v>
      </c>
      <c r="F551" s="7" t="s">
        <v>39</v>
      </c>
      <c r="G551" s="7"/>
    </row>
    <row r="552" ht="18" customHeight="1" spans="1:7">
      <c r="A552" s="7">
        <v>550</v>
      </c>
      <c r="B552" s="7" t="str">
        <f t="shared" si="40"/>
        <v>0201</v>
      </c>
      <c r="C552" s="7" t="s">
        <v>38</v>
      </c>
      <c r="D552" s="7" t="str">
        <f t="shared" si="41"/>
        <v>管理岗</v>
      </c>
      <c r="E552" s="7" t="str">
        <f>"姬琳"</f>
        <v>姬琳</v>
      </c>
      <c r="F552" s="7" t="s">
        <v>39</v>
      </c>
      <c r="G552" s="7"/>
    </row>
    <row r="553" ht="18" customHeight="1" spans="1:7">
      <c r="A553" s="7">
        <v>551</v>
      </c>
      <c r="B553" s="7" t="str">
        <f t="shared" si="40"/>
        <v>0201</v>
      </c>
      <c r="C553" s="7" t="s">
        <v>38</v>
      </c>
      <c r="D553" s="7" t="str">
        <f t="shared" si="41"/>
        <v>管理岗</v>
      </c>
      <c r="E553" s="7" t="str">
        <f>"邓力搏"</f>
        <v>邓力搏</v>
      </c>
      <c r="F553" s="7" t="s">
        <v>39</v>
      </c>
      <c r="G553" s="7"/>
    </row>
    <row r="554" ht="18" customHeight="1" spans="1:7">
      <c r="A554" s="7">
        <v>552</v>
      </c>
      <c r="B554" s="7" t="str">
        <f t="shared" si="40"/>
        <v>0201</v>
      </c>
      <c r="C554" s="7" t="s">
        <v>38</v>
      </c>
      <c r="D554" s="7" t="str">
        <f t="shared" si="41"/>
        <v>管理岗</v>
      </c>
      <c r="E554" s="7" t="str">
        <f>"罗福丽"</f>
        <v>罗福丽</v>
      </c>
      <c r="F554" s="7" t="s">
        <v>39</v>
      </c>
      <c r="G554" s="7"/>
    </row>
    <row r="555" ht="18" customHeight="1" spans="1:7">
      <c r="A555" s="7">
        <v>553</v>
      </c>
      <c r="B555" s="7" t="str">
        <f t="shared" si="40"/>
        <v>0201</v>
      </c>
      <c r="C555" s="7" t="s">
        <v>38</v>
      </c>
      <c r="D555" s="7" t="str">
        <f t="shared" si="41"/>
        <v>管理岗</v>
      </c>
      <c r="E555" s="7" t="str">
        <f>"刘雪"</f>
        <v>刘雪</v>
      </c>
      <c r="F555" s="7" t="s">
        <v>39</v>
      </c>
      <c r="G555" s="7"/>
    </row>
    <row r="556" ht="18" customHeight="1" spans="1:7">
      <c r="A556" s="7">
        <v>554</v>
      </c>
      <c r="B556" s="7" t="str">
        <f t="shared" ref="B556:B619" si="42">"0201"</f>
        <v>0201</v>
      </c>
      <c r="C556" s="7" t="s">
        <v>38</v>
      </c>
      <c r="D556" s="7" t="str">
        <f t="shared" si="41"/>
        <v>管理岗</v>
      </c>
      <c r="E556" s="7" t="str">
        <f>"白雪瑞"</f>
        <v>白雪瑞</v>
      </c>
      <c r="F556" s="7" t="s">
        <v>39</v>
      </c>
      <c r="G556" s="7"/>
    </row>
    <row r="557" ht="18" customHeight="1" spans="1:7">
      <c r="A557" s="7">
        <v>555</v>
      </c>
      <c r="B557" s="7" t="str">
        <f t="shared" si="42"/>
        <v>0201</v>
      </c>
      <c r="C557" s="7" t="s">
        <v>38</v>
      </c>
      <c r="D557" s="7" t="str">
        <f t="shared" si="41"/>
        <v>管理岗</v>
      </c>
      <c r="E557" s="7" t="str">
        <f>"孙括"</f>
        <v>孙括</v>
      </c>
      <c r="F557" s="7" t="s">
        <v>39</v>
      </c>
      <c r="G557" s="7"/>
    </row>
    <row r="558" ht="18" customHeight="1" spans="1:7">
      <c r="A558" s="7">
        <v>556</v>
      </c>
      <c r="B558" s="7" t="str">
        <f t="shared" si="42"/>
        <v>0201</v>
      </c>
      <c r="C558" s="7" t="s">
        <v>38</v>
      </c>
      <c r="D558" s="7" t="str">
        <f t="shared" si="41"/>
        <v>管理岗</v>
      </c>
      <c r="E558" s="7" t="str">
        <f>"王薇"</f>
        <v>王薇</v>
      </c>
      <c r="F558" s="7" t="s">
        <v>39</v>
      </c>
      <c r="G558" s="7"/>
    </row>
    <row r="559" ht="18" customHeight="1" spans="1:7">
      <c r="A559" s="7">
        <v>557</v>
      </c>
      <c r="B559" s="7" t="str">
        <f t="shared" si="42"/>
        <v>0201</v>
      </c>
      <c r="C559" s="7" t="s">
        <v>38</v>
      </c>
      <c r="D559" s="7" t="str">
        <f t="shared" si="41"/>
        <v>管理岗</v>
      </c>
      <c r="E559" s="7" t="str">
        <f>"张曼"</f>
        <v>张曼</v>
      </c>
      <c r="F559" s="7" t="s">
        <v>39</v>
      </c>
      <c r="G559" s="7"/>
    </row>
    <row r="560" ht="18" customHeight="1" spans="1:7">
      <c r="A560" s="7">
        <v>558</v>
      </c>
      <c r="B560" s="7" t="str">
        <f t="shared" si="42"/>
        <v>0201</v>
      </c>
      <c r="C560" s="7" t="s">
        <v>38</v>
      </c>
      <c r="D560" s="7" t="str">
        <f t="shared" si="41"/>
        <v>管理岗</v>
      </c>
      <c r="E560" s="7" t="str">
        <f>"李诗琪"</f>
        <v>李诗琪</v>
      </c>
      <c r="F560" s="7" t="s">
        <v>39</v>
      </c>
      <c r="G560" s="7"/>
    </row>
    <row r="561" ht="18" customHeight="1" spans="1:7">
      <c r="A561" s="7">
        <v>559</v>
      </c>
      <c r="B561" s="7" t="str">
        <f t="shared" si="42"/>
        <v>0201</v>
      </c>
      <c r="C561" s="7" t="s">
        <v>38</v>
      </c>
      <c r="D561" s="7" t="str">
        <f t="shared" si="41"/>
        <v>管理岗</v>
      </c>
      <c r="E561" s="7" t="str">
        <f>"张阳"</f>
        <v>张阳</v>
      </c>
      <c r="F561" s="7" t="s">
        <v>39</v>
      </c>
      <c r="G561" s="7"/>
    </row>
    <row r="562" ht="18" customHeight="1" spans="1:7">
      <c r="A562" s="7">
        <v>560</v>
      </c>
      <c r="B562" s="7" t="str">
        <f t="shared" si="42"/>
        <v>0201</v>
      </c>
      <c r="C562" s="7" t="s">
        <v>38</v>
      </c>
      <c r="D562" s="7" t="str">
        <f t="shared" si="41"/>
        <v>管理岗</v>
      </c>
      <c r="E562" s="7" t="str">
        <f>"冯远强"</f>
        <v>冯远强</v>
      </c>
      <c r="F562" s="7" t="s">
        <v>39</v>
      </c>
      <c r="G562" s="7"/>
    </row>
    <row r="563" ht="18" customHeight="1" spans="1:7">
      <c r="A563" s="7">
        <v>561</v>
      </c>
      <c r="B563" s="7" t="str">
        <f t="shared" si="42"/>
        <v>0201</v>
      </c>
      <c r="C563" s="7" t="s">
        <v>38</v>
      </c>
      <c r="D563" s="7" t="str">
        <f t="shared" si="41"/>
        <v>管理岗</v>
      </c>
      <c r="E563" s="7" t="str">
        <f>"吴清铧"</f>
        <v>吴清铧</v>
      </c>
      <c r="F563" s="7" t="s">
        <v>39</v>
      </c>
      <c r="G563" s="7"/>
    </row>
    <row r="564" ht="18" customHeight="1" spans="1:7">
      <c r="A564" s="7">
        <v>562</v>
      </c>
      <c r="B564" s="7" t="str">
        <f t="shared" si="42"/>
        <v>0201</v>
      </c>
      <c r="C564" s="7" t="s">
        <v>38</v>
      </c>
      <c r="D564" s="7" t="str">
        <f t="shared" si="41"/>
        <v>管理岗</v>
      </c>
      <c r="E564" s="7" t="str">
        <f>"张梦竹"</f>
        <v>张梦竹</v>
      </c>
      <c r="F564" s="7" t="s">
        <v>39</v>
      </c>
      <c r="G564" s="7"/>
    </row>
    <row r="565" ht="18" customHeight="1" spans="1:7">
      <c r="A565" s="7">
        <v>563</v>
      </c>
      <c r="B565" s="7" t="str">
        <f t="shared" si="42"/>
        <v>0201</v>
      </c>
      <c r="C565" s="7" t="s">
        <v>38</v>
      </c>
      <c r="D565" s="7" t="str">
        <f t="shared" si="41"/>
        <v>管理岗</v>
      </c>
      <c r="E565" s="7" t="str">
        <f>"张帆"</f>
        <v>张帆</v>
      </c>
      <c r="F565" s="7" t="s">
        <v>39</v>
      </c>
      <c r="G565" s="7"/>
    </row>
    <row r="566" ht="18" customHeight="1" spans="1:7">
      <c r="A566" s="7">
        <v>564</v>
      </c>
      <c r="B566" s="7" t="str">
        <f t="shared" si="42"/>
        <v>0201</v>
      </c>
      <c r="C566" s="7" t="s">
        <v>38</v>
      </c>
      <c r="D566" s="7" t="str">
        <f t="shared" si="41"/>
        <v>管理岗</v>
      </c>
      <c r="E566" s="7" t="str">
        <f>"汪芝蓉"</f>
        <v>汪芝蓉</v>
      </c>
      <c r="F566" s="7" t="s">
        <v>39</v>
      </c>
      <c r="G566" s="7"/>
    </row>
    <row r="567" ht="18" customHeight="1" spans="1:7">
      <c r="A567" s="7">
        <v>565</v>
      </c>
      <c r="B567" s="7" t="str">
        <f t="shared" si="42"/>
        <v>0201</v>
      </c>
      <c r="C567" s="7" t="s">
        <v>38</v>
      </c>
      <c r="D567" s="7" t="str">
        <f t="shared" si="41"/>
        <v>管理岗</v>
      </c>
      <c r="E567" s="7" t="str">
        <f>"凌博"</f>
        <v>凌博</v>
      </c>
      <c r="F567" s="7" t="s">
        <v>39</v>
      </c>
      <c r="G567" s="7"/>
    </row>
    <row r="568" ht="18" customHeight="1" spans="1:7">
      <c r="A568" s="7">
        <v>566</v>
      </c>
      <c r="B568" s="7" t="str">
        <f t="shared" si="42"/>
        <v>0201</v>
      </c>
      <c r="C568" s="7" t="s">
        <v>38</v>
      </c>
      <c r="D568" s="7" t="str">
        <f t="shared" si="41"/>
        <v>管理岗</v>
      </c>
      <c r="E568" s="7" t="str">
        <f>"李竹"</f>
        <v>李竹</v>
      </c>
      <c r="F568" s="7" t="s">
        <v>39</v>
      </c>
      <c r="G568" s="7"/>
    </row>
    <row r="569" ht="18" customHeight="1" spans="1:7">
      <c r="A569" s="7">
        <v>567</v>
      </c>
      <c r="B569" s="7" t="str">
        <f t="shared" si="42"/>
        <v>0201</v>
      </c>
      <c r="C569" s="7" t="s">
        <v>38</v>
      </c>
      <c r="D569" s="7" t="str">
        <f t="shared" si="41"/>
        <v>管理岗</v>
      </c>
      <c r="E569" s="7" t="str">
        <f>"曾璇"</f>
        <v>曾璇</v>
      </c>
      <c r="F569" s="7" t="s">
        <v>39</v>
      </c>
      <c r="G569" s="7"/>
    </row>
    <row r="570" ht="18" customHeight="1" spans="1:7">
      <c r="A570" s="7">
        <v>568</v>
      </c>
      <c r="B570" s="7" t="str">
        <f t="shared" si="42"/>
        <v>0201</v>
      </c>
      <c r="C570" s="7" t="s">
        <v>38</v>
      </c>
      <c r="D570" s="7" t="str">
        <f t="shared" si="41"/>
        <v>管理岗</v>
      </c>
      <c r="E570" s="7" t="str">
        <f>"肖琳"</f>
        <v>肖琳</v>
      </c>
      <c r="F570" s="7" t="s">
        <v>39</v>
      </c>
      <c r="G570" s="7"/>
    </row>
    <row r="571" ht="18" customHeight="1" spans="1:7">
      <c r="A571" s="7">
        <v>569</v>
      </c>
      <c r="B571" s="7" t="str">
        <f t="shared" si="42"/>
        <v>0201</v>
      </c>
      <c r="C571" s="7" t="s">
        <v>38</v>
      </c>
      <c r="D571" s="7" t="str">
        <f t="shared" si="41"/>
        <v>管理岗</v>
      </c>
      <c r="E571" s="7" t="str">
        <f>"苏梦灿"</f>
        <v>苏梦灿</v>
      </c>
      <c r="F571" s="7" t="s">
        <v>39</v>
      </c>
      <c r="G571" s="7"/>
    </row>
    <row r="572" ht="18" customHeight="1" spans="1:7">
      <c r="A572" s="7">
        <v>570</v>
      </c>
      <c r="B572" s="7" t="str">
        <f t="shared" si="42"/>
        <v>0201</v>
      </c>
      <c r="C572" s="7" t="s">
        <v>38</v>
      </c>
      <c r="D572" s="7" t="str">
        <f t="shared" si="41"/>
        <v>管理岗</v>
      </c>
      <c r="E572" s="7" t="str">
        <f>"张郅煜"</f>
        <v>张郅煜</v>
      </c>
      <c r="F572" s="7" t="s">
        <v>39</v>
      </c>
      <c r="G572" s="7"/>
    </row>
    <row r="573" ht="18" customHeight="1" spans="1:7">
      <c r="A573" s="7">
        <v>571</v>
      </c>
      <c r="B573" s="7" t="str">
        <f t="shared" si="42"/>
        <v>0201</v>
      </c>
      <c r="C573" s="7" t="s">
        <v>38</v>
      </c>
      <c r="D573" s="7" t="str">
        <f t="shared" si="41"/>
        <v>管理岗</v>
      </c>
      <c r="E573" s="7" t="str">
        <f>"马鑫婷"</f>
        <v>马鑫婷</v>
      </c>
      <c r="F573" s="7" t="s">
        <v>39</v>
      </c>
      <c r="G573" s="7"/>
    </row>
    <row r="574" ht="18" customHeight="1" spans="1:7">
      <c r="A574" s="7">
        <v>572</v>
      </c>
      <c r="B574" s="7" t="str">
        <f t="shared" si="42"/>
        <v>0201</v>
      </c>
      <c r="C574" s="7" t="s">
        <v>38</v>
      </c>
      <c r="D574" s="7" t="str">
        <f t="shared" si="41"/>
        <v>管理岗</v>
      </c>
      <c r="E574" s="7" t="str">
        <f>"吴赤诚"</f>
        <v>吴赤诚</v>
      </c>
      <c r="F574" s="7" t="s">
        <v>39</v>
      </c>
      <c r="G574" s="7"/>
    </row>
    <row r="575" ht="18" customHeight="1" spans="1:7">
      <c r="A575" s="7">
        <v>573</v>
      </c>
      <c r="B575" s="7" t="str">
        <f t="shared" si="42"/>
        <v>0201</v>
      </c>
      <c r="C575" s="7" t="s">
        <v>38</v>
      </c>
      <c r="D575" s="7" t="str">
        <f t="shared" si="41"/>
        <v>管理岗</v>
      </c>
      <c r="E575" s="7" t="str">
        <f>"孙源"</f>
        <v>孙源</v>
      </c>
      <c r="F575" s="7" t="s">
        <v>39</v>
      </c>
      <c r="G575" s="7"/>
    </row>
    <row r="576" ht="18" customHeight="1" spans="1:7">
      <c r="A576" s="7">
        <v>574</v>
      </c>
      <c r="B576" s="7" t="str">
        <f t="shared" si="42"/>
        <v>0201</v>
      </c>
      <c r="C576" s="7" t="s">
        <v>38</v>
      </c>
      <c r="D576" s="7" t="str">
        <f t="shared" si="41"/>
        <v>管理岗</v>
      </c>
      <c r="E576" s="7" t="str">
        <f>"乔阳"</f>
        <v>乔阳</v>
      </c>
      <c r="F576" s="7" t="s">
        <v>39</v>
      </c>
      <c r="G576" s="7"/>
    </row>
    <row r="577" ht="18" customHeight="1" spans="1:7">
      <c r="A577" s="7">
        <v>575</v>
      </c>
      <c r="B577" s="7" t="str">
        <f t="shared" si="42"/>
        <v>0201</v>
      </c>
      <c r="C577" s="7" t="s">
        <v>38</v>
      </c>
      <c r="D577" s="7" t="str">
        <f t="shared" si="41"/>
        <v>管理岗</v>
      </c>
      <c r="E577" s="7" t="str">
        <f>"邓倩妮"</f>
        <v>邓倩妮</v>
      </c>
      <c r="F577" s="7" t="s">
        <v>39</v>
      </c>
      <c r="G577" s="7"/>
    </row>
    <row r="578" ht="18" customHeight="1" spans="1:7">
      <c r="A578" s="7">
        <v>576</v>
      </c>
      <c r="B578" s="7" t="str">
        <f t="shared" si="42"/>
        <v>0201</v>
      </c>
      <c r="C578" s="7" t="s">
        <v>38</v>
      </c>
      <c r="D578" s="7" t="str">
        <f t="shared" si="41"/>
        <v>管理岗</v>
      </c>
      <c r="E578" s="7" t="str">
        <f>"行宾华"</f>
        <v>行宾华</v>
      </c>
      <c r="F578" s="7" t="s">
        <v>39</v>
      </c>
      <c r="G578" s="7"/>
    </row>
    <row r="579" ht="18" customHeight="1" spans="1:7">
      <c r="A579" s="7">
        <v>577</v>
      </c>
      <c r="B579" s="7" t="str">
        <f t="shared" si="42"/>
        <v>0201</v>
      </c>
      <c r="C579" s="7" t="s">
        <v>38</v>
      </c>
      <c r="D579" s="7" t="str">
        <f t="shared" si="41"/>
        <v>管理岗</v>
      </c>
      <c r="E579" s="7" t="str">
        <f>"李玲霞"</f>
        <v>李玲霞</v>
      </c>
      <c r="F579" s="7" t="s">
        <v>39</v>
      </c>
      <c r="G579" s="7"/>
    </row>
    <row r="580" ht="18" customHeight="1" spans="1:7">
      <c r="A580" s="7">
        <v>578</v>
      </c>
      <c r="B580" s="7" t="str">
        <f t="shared" si="42"/>
        <v>0201</v>
      </c>
      <c r="C580" s="7" t="s">
        <v>38</v>
      </c>
      <c r="D580" s="7" t="str">
        <f t="shared" si="41"/>
        <v>管理岗</v>
      </c>
      <c r="E580" s="7" t="str">
        <f>"王越"</f>
        <v>王越</v>
      </c>
      <c r="F580" s="7" t="s">
        <v>39</v>
      </c>
      <c r="G580" s="7"/>
    </row>
    <row r="581" ht="18" customHeight="1" spans="1:7">
      <c r="A581" s="7">
        <v>579</v>
      </c>
      <c r="B581" s="7" t="str">
        <f t="shared" si="42"/>
        <v>0201</v>
      </c>
      <c r="C581" s="7" t="s">
        <v>38</v>
      </c>
      <c r="D581" s="7" t="str">
        <f t="shared" ref="D581:D644" si="43">"管理岗"</f>
        <v>管理岗</v>
      </c>
      <c r="E581" s="7" t="str">
        <f>"王宇"</f>
        <v>王宇</v>
      </c>
      <c r="F581" s="7" t="s">
        <v>39</v>
      </c>
      <c r="G581" s="7"/>
    </row>
    <row r="582" ht="18" customHeight="1" spans="1:7">
      <c r="A582" s="7">
        <v>580</v>
      </c>
      <c r="B582" s="7" t="str">
        <f t="shared" si="42"/>
        <v>0201</v>
      </c>
      <c r="C582" s="7" t="s">
        <v>38</v>
      </c>
      <c r="D582" s="7" t="str">
        <f t="shared" si="43"/>
        <v>管理岗</v>
      </c>
      <c r="E582" s="7" t="str">
        <f>"姚玲弟"</f>
        <v>姚玲弟</v>
      </c>
      <c r="F582" s="7" t="s">
        <v>39</v>
      </c>
      <c r="G582" s="7"/>
    </row>
    <row r="583" ht="18" customHeight="1" spans="1:7">
      <c r="A583" s="7">
        <v>581</v>
      </c>
      <c r="B583" s="7" t="str">
        <f t="shared" si="42"/>
        <v>0201</v>
      </c>
      <c r="C583" s="7" t="s">
        <v>38</v>
      </c>
      <c r="D583" s="7" t="str">
        <f t="shared" si="43"/>
        <v>管理岗</v>
      </c>
      <c r="E583" s="7" t="str">
        <f>"王舒乐"</f>
        <v>王舒乐</v>
      </c>
      <c r="F583" s="7" t="s">
        <v>39</v>
      </c>
      <c r="G583" s="7"/>
    </row>
    <row r="584" ht="18" customHeight="1" spans="1:7">
      <c r="A584" s="7">
        <v>582</v>
      </c>
      <c r="B584" s="7" t="str">
        <f t="shared" si="42"/>
        <v>0201</v>
      </c>
      <c r="C584" s="7" t="s">
        <v>38</v>
      </c>
      <c r="D584" s="7" t="str">
        <f t="shared" si="43"/>
        <v>管理岗</v>
      </c>
      <c r="E584" s="7" t="str">
        <f>"曾德锐"</f>
        <v>曾德锐</v>
      </c>
      <c r="F584" s="7" t="s">
        <v>39</v>
      </c>
      <c r="G584" s="7"/>
    </row>
    <row r="585" ht="18" customHeight="1" spans="1:7">
      <c r="A585" s="7">
        <v>583</v>
      </c>
      <c r="B585" s="7" t="str">
        <f t="shared" si="42"/>
        <v>0201</v>
      </c>
      <c r="C585" s="7" t="s">
        <v>38</v>
      </c>
      <c r="D585" s="7" t="str">
        <f t="shared" si="43"/>
        <v>管理岗</v>
      </c>
      <c r="E585" s="7" t="str">
        <f>"杜彤彤"</f>
        <v>杜彤彤</v>
      </c>
      <c r="F585" s="7" t="s">
        <v>39</v>
      </c>
      <c r="G585" s="7"/>
    </row>
    <row r="586" ht="18" customHeight="1" spans="1:7">
      <c r="A586" s="7">
        <v>584</v>
      </c>
      <c r="B586" s="7" t="str">
        <f t="shared" si="42"/>
        <v>0201</v>
      </c>
      <c r="C586" s="7" t="s">
        <v>38</v>
      </c>
      <c r="D586" s="7" t="str">
        <f t="shared" si="43"/>
        <v>管理岗</v>
      </c>
      <c r="E586" s="7" t="str">
        <f>"陈乐然"</f>
        <v>陈乐然</v>
      </c>
      <c r="F586" s="7" t="s">
        <v>39</v>
      </c>
      <c r="G586" s="7"/>
    </row>
    <row r="587" ht="18" customHeight="1" spans="1:7">
      <c r="A587" s="7">
        <v>585</v>
      </c>
      <c r="B587" s="7" t="str">
        <f t="shared" si="42"/>
        <v>0201</v>
      </c>
      <c r="C587" s="7" t="s">
        <v>38</v>
      </c>
      <c r="D587" s="7" t="str">
        <f t="shared" si="43"/>
        <v>管理岗</v>
      </c>
      <c r="E587" s="7" t="str">
        <f>"王秋燕"</f>
        <v>王秋燕</v>
      </c>
      <c r="F587" s="7" t="s">
        <v>39</v>
      </c>
      <c r="G587" s="7"/>
    </row>
    <row r="588" ht="18" customHeight="1" spans="1:7">
      <c r="A588" s="7">
        <v>586</v>
      </c>
      <c r="B588" s="7" t="str">
        <f t="shared" si="42"/>
        <v>0201</v>
      </c>
      <c r="C588" s="7" t="s">
        <v>38</v>
      </c>
      <c r="D588" s="7" t="str">
        <f t="shared" si="43"/>
        <v>管理岗</v>
      </c>
      <c r="E588" s="9" t="str">
        <f>"杨帆"</f>
        <v>杨帆</v>
      </c>
      <c r="F588" s="7" t="s">
        <v>39</v>
      </c>
      <c r="G588" s="7" t="str">
        <f>"232948"</f>
        <v>232948</v>
      </c>
    </row>
    <row r="589" ht="18" customHeight="1" spans="1:7">
      <c r="A589" s="7">
        <v>587</v>
      </c>
      <c r="B589" s="7" t="str">
        <f t="shared" si="42"/>
        <v>0201</v>
      </c>
      <c r="C589" s="7" t="s">
        <v>38</v>
      </c>
      <c r="D589" s="7" t="str">
        <f t="shared" si="43"/>
        <v>管理岗</v>
      </c>
      <c r="E589" s="7" t="str">
        <f>"李亚莉"</f>
        <v>李亚莉</v>
      </c>
      <c r="F589" s="7" t="s">
        <v>39</v>
      </c>
      <c r="G589" s="7"/>
    </row>
    <row r="590" ht="18" customHeight="1" spans="1:7">
      <c r="A590" s="7">
        <v>588</v>
      </c>
      <c r="B590" s="7" t="str">
        <f t="shared" si="42"/>
        <v>0201</v>
      </c>
      <c r="C590" s="7" t="s">
        <v>38</v>
      </c>
      <c r="D590" s="7" t="str">
        <f t="shared" si="43"/>
        <v>管理岗</v>
      </c>
      <c r="E590" s="7" t="str">
        <f>"张宜"</f>
        <v>张宜</v>
      </c>
      <c r="F590" s="7" t="s">
        <v>39</v>
      </c>
      <c r="G590" s="7"/>
    </row>
    <row r="591" ht="18" customHeight="1" spans="1:7">
      <c r="A591" s="7">
        <v>589</v>
      </c>
      <c r="B591" s="7" t="str">
        <f t="shared" si="42"/>
        <v>0201</v>
      </c>
      <c r="C591" s="7" t="s">
        <v>38</v>
      </c>
      <c r="D591" s="7" t="str">
        <f t="shared" si="43"/>
        <v>管理岗</v>
      </c>
      <c r="E591" s="7" t="str">
        <f>"王昊"</f>
        <v>王昊</v>
      </c>
      <c r="F591" s="7" t="s">
        <v>39</v>
      </c>
      <c r="G591" s="7"/>
    </row>
    <row r="592" ht="18" customHeight="1" spans="1:7">
      <c r="A592" s="7">
        <v>590</v>
      </c>
      <c r="B592" s="7" t="str">
        <f t="shared" si="42"/>
        <v>0201</v>
      </c>
      <c r="C592" s="7" t="s">
        <v>38</v>
      </c>
      <c r="D592" s="7" t="str">
        <f t="shared" si="43"/>
        <v>管理岗</v>
      </c>
      <c r="E592" s="7" t="str">
        <f>"向瑶"</f>
        <v>向瑶</v>
      </c>
      <c r="F592" s="7" t="s">
        <v>39</v>
      </c>
      <c r="G592" s="7"/>
    </row>
    <row r="593" ht="18" customHeight="1" spans="1:7">
      <c r="A593" s="7">
        <v>591</v>
      </c>
      <c r="B593" s="7" t="str">
        <f t="shared" si="42"/>
        <v>0201</v>
      </c>
      <c r="C593" s="7" t="s">
        <v>38</v>
      </c>
      <c r="D593" s="7" t="str">
        <f t="shared" si="43"/>
        <v>管理岗</v>
      </c>
      <c r="E593" s="7" t="str">
        <f>"廖芷依"</f>
        <v>廖芷依</v>
      </c>
      <c r="F593" s="7" t="s">
        <v>39</v>
      </c>
      <c r="G593" s="7"/>
    </row>
    <row r="594" ht="18" customHeight="1" spans="1:7">
      <c r="A594" s="7">
        <v>592</v>
      </c>
      <c r="B594" s="7" t="str">
        <f t="shared" si="42"/>
        <v>0201</v>
      </c>
      <c r="C594" s="7" t="s">
        <v>38</v>
      </c>
      <c r="D594" s="7" t="str">
        <f t="shared" si="43"/>
        <v>管理岗</v>
      </c>
      <c r="E594" s="7" t="str">
        <f>"梁雪琴"</f>
        <v>梁雪琴</v>
      </c>
      <c r="F594" s="7" t="s">
        <v>39</v>
      </c>
      <c r="G594" s="7"/>
    </row>
    <row r="595" ht="18" customHeight="1" spans="1:7">
      <c r="A595" s="7">
        <v>593</v>
      </c>
      <c r="B595" s="7" t="str">
        <f t="shared" si="42"/>
        <v>0201</v>
      </c>
      <c r="C595" s="7" t="s">
        <v>38</v>
      </c>
      <c r="D595" s="7" t="str">
        <f t="shared" si="43"/>
        <v>管理岗</v>
      </c>
      <c r="E595" s="7" t="str">
        <f>"赵培琳"</f>
        <v>赵培琳</v>
      </c>
      <c r="F595" s="7" t="s">
        <v>39</v>
      </c>
      <c r="G595" s="7"/>
    </row>
    <row r="596" ht="18" customHeight="1" spans="1:7">
      <c r="A596" s="7">
        <v>594</v>
      </c>
      <c r="B596" s="7" t="str">
        <f t="shared" si="42"/>
        <v>0201</v>
      </c>
      <c r="C596" s="7" t="s">
        <v>38</v>
      </c>
      <c r="D596" s="7" t="str">
        <f t="shared" si="43"/>
        <v>管理岗</v>
      </c>
      <c r="E596" s="7" t="str">
        <f>"范续艳"</f>
        <v>范续艳</v>
      </c>
      <c r="F596" s="7" t="s">
        <v>39</v>
      </c>
      <c r="G596" s="7"/>
    </row>
    <row r="597" ht="18" customHeight="1" spans="1:7">
      <c r="A597" s="7">
        <v>595</v>
      </c>
      <c r="B597" s="7" t="str">
        <f t="shared" si="42"/>
        <v>0201</v>
      </c>
      <c r="C597" s="7" t="s">
        <v>38</v>
      </c>
      <c r="D597" s="7" t="str">
        <f t="shared" si="43"/>
        <v>管理岗</v>
      </c>
      <c r="E597" s="7" t="str">
        <f>"曾雅雪"</f>
        <v>曾雅雪</v>
      </c>
      <c r="F597" s="7" t="s">
        <v>39</v>
      </c>
      <c r="G597" s="7"/>
    </row>
    <row r="598" ht="18" customHeight="1" spans="1:7">
      <c r="A598" s="7">
        <v>596</v>
      </c>
      <c r="B598" s="7" t="str">
        <f t="shared" si="42"/>
        <v>0201</v>
      </c>
      <c r="C598" s="7" t="s">
        <v>38</v>
      </c>
      <c r="D598" s="7" t="str">
        <f t="shared" si="43"/>
        <v>管理岗</v>
      </c>
      <c r="E598" s="7" t="str">
        <f>"何靖翔"</f>
        <v>何靖翔</v>
      </c>
      <c r="F598" s="7" t="s">
        <v>39</v>
      </c>
      <c r="G598" s="7"/>
    </row>
    <row r="599" ht="18" customHeight="1" spans="1:7">
      <c r="A599" s="7">
        <v>597</v>
      </c>
      <c r="B599" s="7" t="str">
        <f t="shared" si="42"/>
        <v>0201</v>
      </c>
      <c r="C599" s="7" t="s">
        <v>38</v>
      </c>
      <c r="D599" s="7" t="str">
        <f t="shared" si="43"/>
        <v>管理岗</v>
      </c>
      <c r="E599" s="7" t="str">
        <f>"彭唯实"</f>
        <v>彭唯实</v>
      </c>
      <c r="F599" s="7" t="s">
        <v>39</v>
      </c>
      <c r="G599" s="7"/>
    </row>
    <row r="600" ht="18" customHeight="1" spans="1:7">
      <c r="A600" s="7">
        <v>598</v>
      </c>
      <c r="B600" s="7" t="str">
        <f t="shared" si="42"/>
        <v>0201</v>
      </c>
      <c r="C600" s="7" t="s">
        <v>38</v>
      </c>
      <c r="D600" s="7" t="str">
        <f t="shared" si="43"/>
        <v>管理岗</v>
      </c>
      <c r="E600" s="7" t="str">
        <f>"崔增锐"</f>
        <v>崔增锐</v>
      </c>
      <c r="F600" s="7" t="s">
        <v>39</v>
      </c>
      <c r="G600" s="7"/>
    </row>
    <row r="601" ht="18" customHeight="1" spans="1:7">
      <c r="A601" s="7">
        <v>599</v>
      </c>
      <c r="B601" s="7" t="str">
        <f t="shared" si="42"/>
        <v>0201</v>
      </c>
      <c r="C601" s="7" t="s">
        <v>38</v>
      </c>
      <c r="D601" s="7" t="str">
        <f t="shared" si="43"/>
        <v>管理岗</v>
      </c>
      <c r="E601" s="7" t="str">
        <f>"陈秀红"</f>
        <v>陈秀红</v>
      </c>
      <c r="F601" s="7" t="s">
        <v>39</v>
      </c>
      <c r="G601" s="7"/>
    </row>
    <row r="602" ht="18" customHeight="1" spans="1:7">
      <c r="A602" s="7">
        <v>600</v>
      </c>
      <c r="B602" s="7" t="str">
        <f t="shared" si="42"/>
        <v>0201</v>
      </c>
      <c r="C602" s="7" t="s">
        <v>38</v>
      </c>
      <c r="D602" s="7" t="str">
        <f t="shared" si="43"/>
        <v>管理岗</v>
      </c>
      <c r="E602" s="7" t="str">
        <f>"赵茜"</f>
        <v>赵茜</v>
      </c>
      <c r="F602" s="7" t="s">
        <v>39</v>
      </c>
      <c r="G602" s="7"/>
    </row>
    <row r="603" ht="18" customHeight="1" spans="1:7">
      <c r="A603" s="7">
        <v>601</v>
      </c>
      <c r="B603" s="7" t="str">
        <f t="shared" si="42"/>
        <v>0201</v>
      </c>
      <c r="C603" s="7" t="s">
        <v>38</v>
      </c>
      <c r="D603" s="7" t="str">
        <f t="shared" si="43"/>
        <v>管理岗</v>
      </c>
      <c r="E603" s="7" t="str">
        <f>"黄政"</f>
        <v>黄政</v>
      </c>
      <c r="F603" s="7" t="s">
        <v>39</v>
      </c>
      <c r="G603" s="7"/>
    </row>
    <row r="604" ht="18" customHeight="1" spans="1:7">
      <c r="A604" s="7">
        <v>602</v>
      </c>
      <c r="B604" s="7" t="str">
        <f t="shared" si="42"/>
        <v>0201</v>
      </c>
      <c r="C604" s="7" t="s">
        <v>38</v>
      </c>
      <c r="D604" s="7" t="str">
        <f t="shared" si="43"/>
        <v>管理岗</v>
      </c>
      <c r="E604" s="7" t="str">
        <f>"王叶青"</f>
        <v>王叶青</v>
      </c>
      <c r="F604" s="7" t="s">
        <v>39</v>
      </c>
      <c r="G604" s="7"/>
    </row>
    <row r="605" ht="18" customHeight="1" spans="1:7">
      <c r="A605" s="7">
        <v>603</v>
      </c>
      <c r="B605" s="7" t="str">
        <f t="shared" si="42"/>
        <v>0201</v>
      </c>
      <c r="C605" s="7" t="s">
        <v>38</v>
      </c>
      <c r="D605" s="7" t="str">
        <f t="shared" si="43"/>
        <v>管理岗</v>
      </c>
      <c r="E605" s="7" t="str">
        <f>"朱小燕"</f>
        <v>朱小燕</v>
      </c>
      <c r="F605" s="7" t="s">
        <v>39</v>
      </c>
      <c r="G605" s="7"/>
    </row>
    <row r="606" ht="18" customHeight="1" spans="1:7">
      <c r="A606" s="7">
        <v>604</v>
      </c>
      <c r="B606" s="7" t="str">
        <f t="shared" si="42"/>
        <v>0201</v>
      </c>
      <c r="C606" s="7" t="s">
        <v>38</v>
      </c>
      <c r="D606" s="7" t="str">
        <f t="shared" si="43"/>
        <v>管理岗</v>
      </c>
      <c r="E606" s="7" t="str">
        <f>"王彦铮"</f>
        <v>王彦铮</v>
      </c>
      <c r="F606" s="7" t="s">
        <v>39</v>
      </c>
      <c r="G606" s="7"/>
    </row>
    <row r="607" ht="18" customHeight="1" spans="1:7">
      <c r="A607" s="7">
        <v>605</v>
      </c>
      <c r="B607" s="7" t="str">
        <f t="shared" si="42"/>
        <v>0201</v>
      </c>
      <c r="C607" s="7" t="s">
        <v>38</v>
      </c>
      <c r="D607" s="7" t="str">
        <f t="shared" si="43"/>
        <v>管理岗</v>
      </c>
      <c r="E607" s="7" t="str">
        <f>"樊静"</f>
        <v>樊静</v>
      </c>
      <c r="F607" s="7" t="s">
        <v>39</v>
      </c>
      <c r="G607" s="7"/>
    </row>
    <row r="608" ht="18" customHeight="1" spans="1:7">
      <c r="A608" s="7">
        <v>606</v>
      </c>
      <c r="B608" s="7" t="str">
        <f t="shared" si="42"/>
        <v>0201</v>
      </c>
      <c r="C608" s="7" t="s">
        <v>38</v>
      </c>
      <c r="D608" s="7" t="str">
        <f t="shared" si="43"/>
        <v>管理岗</v>
      </c>
      <c r="E608" s="7" t="str">
        <f>"肖子薇"</f>
        <v>肖子薇</v>
      </c>
      <c r="F608" s="7" t="s">
        <v>39</v>
      </c>
      <c r="G608" s="7"/>
    </row>
    <row r="609" ht="18" customHeight="1" spans="1:7">
      <c r="A609" s="7">
        <v>607</v>
      </c>
      <c r="B609" s="7" t="str">
        <f t="shared" si="42"/>
        <v>0201</v>
      </c>
      <c r="C609" s="7" t="s">
        <v>38</v>
      </c>
      <c r="D609" s="7" t="str">
        <f t="shared" si="43"/>
        <v>管理岗</v>
      </c>
      <c r="E609" s="7" t="str">
        <f>"杨杰"</f>
        <v>杨杰</v>
      </c>
      <c r="F609" s="7" t="s">
        <v>39</v>
      </c>
      <c r="G609" s="7"/>
    </row>
    <row r="610" ht="18" customHeight="1" spans="1:7">
      <c r="A610" s="7">
        <v>608</v>
      </c>
      <c r="B610" s="7" t="str">
        <f t="shared" si="42"/>
        <v>0201</v>
      </c>
      <c r="C610" s="7" t="s">
        <v>38</v>
      </c>
      <c r="D610" s="7" t="str">
        <f t="shared" si="43"/>
        <v>管理岗</v>
      </c>
      <c r="E610" s="7" t="str">
        <f>"杜娟"</f>
        <v>杜娟</v>
      </c>
      <c r="F610" s="7" t="s">
        <v>39</v>
      </c>
      <c r="G610" s="7"/>
    </row>
    <row r="611" ht="18" customHeight="1" spans="1:7">
      <c r="A611" s="7">
        <v>609</v>
      </c>
      <c r="B611" s="7" t="str">
        <f t="shared" si="42"/>
        <v>0201</v>
      </c>
      <c r="C611" s="7" t="s">
        <v>38</v>
      </c>
      <c r="D611" s="7" t="str">
        <f t="shared" si="43"/>
        <v>管理岗</v>
      </c>
      <c r="E611" s="7" t="str">
        <f>"张柳桦"</f>
        <v>张柳桦</v>
      </c>
      <c r="F611" s="7" t="s">
        <v>39</v>
      </c>
      <c r="G611" s="7"/>
    </row>
    <row r="612" ht="18" customHeight="1" spans="1:7">
      <c r="A612" s="7">
        <v>610</v>
      </c>
      <c r="B612" s="7" t="str">
        <f t="shared" si="42"/>
        <v>0201</v>
      </c>
      <c r="C612" s="7" t="s">
        <v>38</v>
      </c>
      <c r="D612" s="7" t="str">
        <f t="shared" si="43"/>
        <v>管理岗</v>
      </c>
      <c r="E612" s="7" t="str">
        <f>"杨灵玉"</f>
        <v>杨灵玉</v>
      </c>
      <c r="F612" s="7" t="s">
        <v>39</v>
      </c>
      <c r="G612" s="7"/>
    </row>
    <row r="613" ht="18" customHeight="1" spans="1:7">
      <c r="A613" s="7">
        <v>611</v>
      </c>
      <c r="B613" s="7" t="str">
        <f t="shared" si="42"/>
        <v>0201</v>
      </c>
      <c r="C613" s="7" t="s">
        <v>38</v>
      </c>
      <c r="D613" s="7" t="str">
        <f t="shared" si="43"/>
        <v>管理岗</v>
      </c>
      <c r="E613" s="7" t="str">
        <f>"李名扬"</f>
        <v>李名扬</v>
      </c>
      <c r="F613" s="7" t="s">
        <v>39</v>
      </c>
      <c r="G613" s="7"/>
    </row>
    <row r="614" ht="18" customHeight="1" spans="1:7">
      <c r="A614" s="7">
        <v>612</v>
      </c>
      <c r="B614" s="7" t="str">
        <f t="shared" si="42"/>
        <v>0201</v>
      </c>
      <c r="C614" s="7" t="s">
        <v>38</v>
      </c>
      <c r="D614" s="7" t="str">
        <f t="shared" si="43"/>
        <v>管理岗</v>
      </c>
      <c r="E614" s="7" t="str">
        <f>"孙熙卓"</f>
        <v>孙熙卓</v>
      </c>
      <c r="F614" s="7" t="s">
        <v>39</v>
      </c>
      <c r="G614" s="7"/>
    </row>
    <row r="615" ht="18" customHeight="1" spans="1:7">
      <c r="A615" s="7">
        <v>613</v>
      </c>
      <c r="B615" s="7" t="str">
        <f t="shared" si="42"/>
        <v>0201</v>
      </c>
      <c r="C615" s="7" t="s">
        <v>38</v>
      </c>
      <c r="D615" s="7" t="str">
        <f t="shared" si="43"/>
        <v>管理岗</v>
      </c>
      <c r="E615" s="7" t="str">
        <f>"张娇"</f>
        <v>张娇</v>
      </c>
      <c r="F615" s="7" t="s">
        <v>39</v>
      </c>
      <c r="G615" s="7"/>
    </row>
    <row r="616" ht="18" customHeight="1" spans="1:7">
      <c r="A616" s="7">
        <v>614</v>
      </c>
      <c r="B616" s="7" t="str">
        <f t="shared" si="42"/>
        <v>0201</v>
      </c>
      <c r="C616" s="7" t="s">
        <v>38</v>
      </c>
      <c r="D616" s="7" t="str">
        <f t="shared" si="43"/>
        <v>管理岗</v>
      </c>
      <c r="E616" s="7" t="str">
        <f>"苍月"</f>
        <v>苍月</v>
      </c>
      <c r="F616" s="7" t="s">
        <v>39</v>
      </c>
      <c r="G616" s="7"/>
    </row>
    <row r="617" ht="18" customHeight="1" spans="1:7">
      <c r="A617" s="7">
        <v>615</v>
      </c>
      <c r="B617" s="7" t="str">
        <f t="shared" si="42"/>
        <v>0201</v>
      </c>
      <c r="C617" s="7" t="s">
        <v>38</v>
      </c>
      <c r="D617" s="7" t="str">
        <f t="shared" si="43"/>
        <v>管理岗</v>
      </c>
      <c r="E617" s="7" t="str">
        <f>"李冉"</f>
        <v>李冉</v>
      </c>
      <c r="F617" s="7" t="s">
        <v>39</v>
      </c>
      <c r="G617" s="7"/>
    </row>
    <row r="618" ht="18" customHeight="1" spans="1:7">
      <c r="A618" s="7">
        <v>616</v>
      </c>
      <c r="B618" s="7" t="str">
        <f t="shared" si="42"/>
        <v>0201</v>
      </c>
      <c r="C618" s="7" t="s">
        <v>38</v>
      </c>
      <c r="D618" s="7" t="str">
        <f t="shared" si="43"/>
        <v>管理岗</v>
      </c>
      <c r="E618" s="7" t="str">
        <f>"王诗涵"</f>
        <v>王诗涵</v>
      </c>
      <c r="F618" s="7" t="s">
        <v>39</v>
      </c>
      <c r="G618" s="7"/>
    </row>
    <row r="619" ht="18" customHeight="1" spans="1:7">
      <c r="A619" s="7">
        <v>617</v>
      </c>
      <c r="B619" s="7" t="str">
        <f t="shared" si="42"/>
        <v>0201</v>
      </c>
      <c r="C619" s="7" t="s">
        <v>38</v>
      </c>
      <c r="D619" s="7" t="str">
        <f t="shared" si="43"/>
        <v>管理岗</v>
      </c>
      <c r="E619" s="7" t="str">
        <f>"陈宇"</f>
        <v>陈宇</v>
      </c>
      <c r="F619" s="7" t="s">
        <v>39</v>
      </c>
      <c r="G619" s="7"/>
    </row>
    <row r="620" ht="18" customHeight="1" spans="1:7">
      <c r="A620" s="7">
        <v>618</v>
      </c>
      <c r="B620" s="7" t="str">
        <f t="shared" ref="B620:B628" si="44">"0201"</f>
        <v>0201</v>
      </c>
      <c r="C620" s="7" t="s">
        <v>38</v>
      </c>
      <c r="D620" s="7" t="str">
        <f t="shared" si="43"/>
        <v>管理岗</v>
      </c>
      <c r="E620" s="7" t="str">
        <f>"徐欣怡"</f>
        <v>徐欣怡</v>
      </c>
      <c r="F620" s="7" t="s">
        <v>39</v>
      </c>
      <c r="G620" s="7"/>
    </row>
    <row r="621" ht="18" customHeight="1" spans="1:7">
      <c r="A621" s="7">
        <v>619</v>
      </c>
      <c r="B621" s="7" t="str">
        <f t="shared" si="44"/>
        <v>0201</v>
      </c>
      <c r="C621" s="7" t="s">
        <v>38</v>
      </c>
      <c r="D621" s="7" t="str">
        <f t="shared" si="43"/>
        <v>管理岗</v>
      </c>
      <c r="E621" s="7" t="str">
        <f>"郝钊慧"</f>
        <v>郝钊慧</v>
      </c>
      <c r="F621" s="7" t="s">
        <v>39</v>
      </c>
      <c r="G621" s="7"/>
    </row>
    <row r="622" ht="18" customHeight="1" spans="1:7">
      <c r="A622" s="7">
        <v>620</v>
      </c>
      <c r="B622" s="7" t="str">
        <f t="shared" si="44"/>
        <v>0201</v>
      </c>
      <c r="C622" s="7" t="s">
        <v>38</v>
      </c>
      <c r="D622" s="7" t="str">
        <f t="shared" si="43"/>
        <v>管理岗</v>
      </c>
      <c r="E622" s="7" t="str">
        <f>"王哲存"</f>
        <v>王哲存</v>
      </c>
      <c r="F622" s="7" t="s">
        <v>39</v>
      </c>
      <c r="G622" s="7"/>
    </row>
    <row r="623" ht="18" customHeight="1" spans="1:7">
      <c r="A623" s="7">
        <v>621</v>
      </c>
      <c r="B623" s="7" t="str">
        <f t="shared" si="44"/>
        <v>0201</v>
      </c>
      <c r="C623" s="7" t="s">
        <v>38</v>
      </c>
      <c r="D623" s="7" t="str">
        <f t="shared" si="43"/>
        <v>管理岗</v>
      </c>
      <c r="E623" s="7" t="str">
        <f>"辛宇"</f>
        <v>辛宇</v>
      </c>
      <c r="F623" s="7" t="s">
        <v>39</v>
      </c>
      <c r="G623" s="7"/>
    </row>
    <row r="624" ht="18" customHeight="1" spans="1:7">
      <c r="A624" s="7">
        <v>622</v>
      </c>
      <c r="B624" s="7" t="str">
        <f t="shared" si="44"/>
        <v>0201</v>
      </c>
      <c r="C624" s="7" t="s">
        <v>38</v>
      </c>
      <c r="D624" s="7" t="str">
        <f t="shared" si="43"/>
        <v>管理岗</v>
      </c>
      <c r="E624" s="7" t="str">
        <f>"宋昭"</f>
        <v>宋昭</v>
      </c>
      <c r="F624" s="7" t="s">
        <v>39</v>
      </c>
      <c r="G624" s="7"/>
    </row>
    <row r="625" ht="18" customHeight="1" spans="1:7">
      <c r="A625" s="7">
        <v>623</v>
      </c>
      <c r="B625" s="7" t="str">
        <f t="shared" si="44"/>
        <v>0201</v>
      </c>
      <c r="C625" s="7" t="s">
        <v>38</v>
      </c>
      <c r="D625" s="7" t="str">
        <f t="shared" si="43"/>
        <v>管理岗</v>
      </c>
      <c r="E625" s="7" t="str">
        <f>"王垚淼"</f>
        <v>王垚淼</v>
      </c>
      <c r="F625" s="7" t="s">
        <v>39</v>
      </c>
      <c r="G625" s="7"/>
    </row>
    <row r="626" ht="18" customHeight="1" spans="1:7">
      <c r="A626" s="7">
        <v>624</v>
      </c>
      <c r="B626" s="7" t="str">
        <f t="shared" si="44"/>
        <v>0201</v>
      </c>
      <c r="C626" s="7" t="s">
        <v>38</v>
      </c>
      <c r="D626" s="7" t="str">
        <f t="shared" si="43"/>
        <v>管理岗</v>
      </c>
      <c r="E626" s="7" t="str">
        <f>"卢家宁"</f>
        <v>卢家宁</v>
      </c>
      <c r="F626" s="7" t="s">
        <v>39</v>
      </c>
      <c r="G626" s="7"/>
    </row>
    <row r="627" ht="18" customHeight="1" spans="1:7">
      <c r="A627" s="7">
        <v>625</v>
      </c>
      <c r="B627" s="7" t="str">
        <f t="shared" si="44"/>
        <v>0201</v>
      </c>
      <c r="C627" s="7" t="s">
        <v>38</v>
      </c>
      <c r="D627" s="7" t="str">
        <f t="shared" si="43"/>
        <v>管理岗</v>
      </c>
      <c r="E627" s="7" t="str">
        <f>"王晓"</f>
        <v>王晓</v>
      </c>
      <c r="F627" s="7" t="s">
        <v>39</v>
      </c>
      <c r="G627" s="7"/>
    </row>
    <row r="628" ht="18" customHeight="1" spans="1:7">
      <c r="A628" s="7">
        <v>626</v>
      </c>
      <c r="B628" s="7" t="str">
        <f t="shared" si="44"/>
        <v>0201</v>
      </c>
      <c r="C628" s="7" t="s">
        <v>38</v>
      </c>
      <c r="D628" s="7" t="str">
        <f t="shared" si="43"/>
        <v>管理岗</v>
      </c>
      <c r="E628" s="7" t="str">
        <f>"穆潇"</f>
        <v>穆潇</v>
      </c>
      <c r="F628" s="7" t="s">
        <v>39</v>
      </c>
      <c r="G628" s="7"/>
    </row>
    <row r="629" ht="18" customHeight="1" spans="1:7">
      <c r="A629" s="7">
        <v>627</v>
      </c>
      <c r="B629" s="7" t="str">
        <f t="shared" ref="B629:B639" si="45">"0202"</f>
        <v>0202</v>
      </c>
      <c r="C629" s="7" t="s">
        <v>41</v>
      </c>
      <c r="D629" s="7" t="str">
        <f t="shared" si="43"/>
        <v>管理岗</v>
      </c>
      <c r="E629" s="7" t="str">
        <f>"符方德"</f>
        <v>符方德</v>
      </c>
      <c r="F629" s="7" t="s">
        <v>39</v>
      </c>
      <c r="G629" s="7"/>
    </row>
    <row r="630" ht="18" customHeight="1" spans="1:7">
      <c r="A630" s="7">
        <v>628</v>
      </c>
      <c r="B630" s="7" t="str">
        <f t="shared" si="45"/>
        <v>0202</v>
      </c>
      <c r="C630" s="7" t="s">
        <v>41</v>
      </c>
      <c r="D630" s="7" t="str">
        <f t="shared" si="43"/>
        <v>管理岗</v>
      </c>
      <c r="E630" s="7" t="str">
        <f>"苏新雯"</f>
        <v>苏新雯</v>
      </c>
      <c r="F630" s="7" t="s">
        <v>39</v>
      </c>
      <c r="G630" s="7"/>
    </row>
    <row r="631" ht="18" customHeight="1" spans="1:7">
      <c r="A631" s="7">
        <v>629</v>
      </c>
      <c r="B631" s="7" t="str">
        <f t="shared" si="45"/>
        <v>0202</v>
      </c>
      <c r="C631" s="7" t="s">
        <v>41</v>
      </c>
      <c r="D631" s="7" t="str">
        <f t="shared" si="43"/>
        <v>管理岗</v>
      </c>
      <c r="E631" s="7" t="str">
        <f>"马姣"</f>
        <v>马姣</v>
      </c>
      <c r="F631" s="7" t="s">
        <v>39</v>
      </c>
      <c r="G631" s="7"/>
    </row>
    <row r="632" ht="18" customHeight="1" spans="1:7">
      <c r="A632" s="7">
        <v>630</v>
      </c>
      <c r="B632" s="7" t="str">
        <f t="shared" si="45"/>
        <v>0202</v>
      </c>
      <c r="C632" s="7" t="s">
        <v>41</v>
      </c>
      <c r="D632" s="7" t="str">
        <f t="shared" si="43"/>
        <v>管理岗</v>
      </c>
      <c r="E632" s="7" t="str">
        <f>"刘畅"</f>
        <v>刘畅</v>
      </c>
      <c r="F632" s="7" t="s">
        <v>39</v>
      </c>
      <c r="G632" s="7"/>
    </row>
    <row r="633" ht="18" customHeight="1" spans="1:7">
      <c r="A633" s="7">
        <v>631</v>
      </c>
      <c r="B633" s="7" t="str">
        <f t="shared" si="45"/>
        <v>0202</v>
      </c>
      <c r="C633" s="7" t="s">
        <v>41</v>
      </c>
      <c r="D633" s="7" t="str">
        <f t="shared" si="43"/>
        <v>管理岗</v>
      </c>
      <c r="E633" s="7" t="str">
        <f>"张惠嘉"</f>
        <v>张惠嘉</v>
      </c>
      <c r="F633" s="7" t="s">
        <v>39</v>
      </c>
      <c r="G633" s="7"/>
    </row>
    <row r="634" ht="18" customHeight="1" spans="1:7">
      <c r="A634" s="7">
        <v>632</v>
      </c>
      <c r="B634" s="7" t="str">
        <f t="shared" si="45"/>
        <v>0202</v>
      </c>
      <c r="C634" s="7" t="s">
        <v>41</v>
      </c>
      <c r="D634" s="7" t="str">
        <f t="shared" si="43"/>
        <v>管理岗</v>
      </c>
      <c r="E634" s="7" t="str">
        <f>"吕坤蔚"</f>
        <v>吕坤蔚</v>
      </c>
      <c r="F634" s="7" t="s">
        <v>39</v>
      </c>
      <c r="G634" s="7"/>
    </row>
    <row r="635" ht="18" customHeight="1" spans="1:7">
      <c r="A635" s="7">
        <v>633</v>
      </c>
      <c r="B635" s="7" t="str">
        <f t="shared" si="45"/>
        <v>0202</v>
      </c>
      <c r="C635" s="7" t="s">
        <v>41</v>
      </c>
      <c r="D635" s="7" t="str">
        <f t="shared" si="43"/>
        <v>管理岗</v>
      </c>
      <c r="E635" s="7" t="str">
        <f>"陈梦溪"</f>
        <v>陈梦溪</v>
      </c>
      <c r="F635" s="7" t="s">
        <v>39</v>
      </c>
      <c r="G635" s="7"/>
    </row>
    <row r="636" ht="18" customHeight="1" spans="1:7">
      <c r="A636" s="7">
        <v>634</v>
      </c>
      <c r="B636" s="7" t="str">
        <f t="shared" si="45"/>
        <v>0202</v>
      </c>
      <c r="C636" s="7" t="s">
        <v>41</v>
      </c>
      <c r="D636" s="7" t="str">
        <f t="shared" si="43"/>
        <v>管理岗</v>
      </c>
      <c r="E636" s="7" t="str">
        <f>"张金臻"</f>
        <v>张金臻</v>
      </c>
      <c r="F636" s="7" t="s">
        <v>39</v>
      </c>
      <c r="G636" s="7"/>
    </row>
    <row r="637" ht="18" customHeight="1" spans="1:7">
      <c r="A637" s="7">
        <v>635</v>
      </c>
      <c r="B637" s="7" t="str">
        <f t="shared" si="45"/>
        <v>0202</v>
      </c>
      <c r="C637" s="7" t="s">
        <v>41</v>
      </c>
      <c r="D637" s="7" t="str">
        <f t="shared" si="43"/>
        <v>管理岗</v>
      </c>
      <c r="E637" s="7" t="str">
        <f>"赵静祎"</f>
        <v>赵静祎</v>
      </c>
      <c r="F637" s="7" t="s">
        <v>39</v>
      </c>
      <c r="G637" s="7"/>
    </row>
    <row r="638" ht="18" customHeight="1" spans="1:7">
      <c r="A638" s="7">
        <v>636</v>
      </c>
      <c r="B638" s="7" t="str">
        <f t="shared" si="45"/>
        <v>0202</v>
      </c>
      <c r="C638" s="7" t="s">
        <v>41</v>
      </c>
      <c r="D638" s="7" t="str">
        <f t="shared" si="43"/>
        <v>管理岗</v>
      </c>
      <c r="E638" s="7" t="str">
        <f>"朱思"</f>
        <v>朱思</v>
      </c>
      <c r="F638" s="7" t="s">
        <v>39</v>
      </c>
      <c r="G638" s="7"/>
    </row>
    <row r="639" ht="18" customHeight="1" spans="1:7">
      <c r="A639" s="7">
        <v>637</v>
      </c>
      <c r="B639" s="7" t="str">
        <f t="shared" si="45"/>
        <v>0202</v>
      </c>
      <c r="C639" s="7" t="s">
        <v>41</v>
      </c>
      <c r="D639" s="7" t="str">
        <f t="shared" si="43"/>
        <v>管理岗</v>
      </c>
      <c r="E639" s="7" t="str">
        <f>"赵颖琪"</f>
        <v>赵颖琪</v>
      </c>
      <c r="F639" s="7" t="s">
        <v>39</v>
      </c>
      <c r="G639" s="7"/>
    </row>
    <row r="640" ht="18" customHeight="1" spans="1:7">
      <c r="A640" s="7">
        <v>638</v>
      </c>
      <c r="B640" s="7" t="str">
        <f>"0203"</f>
        <v>0203</v>
      </c>
      <c r="C640" s="7" t="s">
        <v>42</v>
      </c>
      <c r="D640" s="7" t="str">
        <f t="shared" si="43"/>
        <v>管理岗</v>
      </c>
      <c r="E640" s="7" t="str">
        <f>"陈辉光"</f>
        <v>陈辉光</v>
      </c>
      <c r="F640" s="7" t="s">
        <v>39</v>
      </c>
      <c r="G640" s="7"/>
    </row>
    <row r="641" ht="18" customHeight="1" spans="1:7">
      <c r="A641" s="7">
        <v>639</v>
      </c>
      <c r="B641" s="7" t="str">
        <f>"0203"</f>
        <v>0203</v>
      </c>
      <c r="C641" s="7" t="s">
        <v>42</v>
      </c>
      <c r="D641" s="7" t="str">
        <f t="shared" si="43"/>
        <v>管理岗</v>
      </c>
      <c r="E641" s="7" t="str">
        <f>"段柏慧"</f>
        <v>段柏慧</v>
      </c>
      <c r="F641" s="7" t="s">
        <v>39</v>
      </c>
      <c r="G641" s="7"/>
    </row>
    <row r="642" ht="18" customHeight="1" spans="1:7">
      <c r="A642" s="7">
        <v>640</v>
      </c>
      <c r="B642" s="7" t="str">
        <f>"0203"</f>
        <v>0203</v>
      </c>
      <c r="C642" s="7" t="s">
        <v>42</v>
      </c>
      <c r="D642" s="7" t="str">
        <f t="shared" si="43"/>
        <v>管理岗</v>
      </c>
      <c r="E642" s="7" t="str">
        <f>"郑淅予"</f>
        <v>郑淅予</v>
      </c>
      <c r="F642" s="7" t="s">
        <v>39</v>
      </c>
      <c r="G642" s="7"/>
    </row>
    <row r="643" ht="18" customHeight="1" spans="1:7">
      <c r="A643" s="7">
        <v>641</v>
      </c>
      <c r="B643" s="7" t="str">
        <f>"0203"</f>
        <v>0203</v>
      </c>
      <c r="C643" s="7" t="s">
        <v>42</v>
      </c>
      <c r="D643" s="7" t="str">
        <f t="shared" si="43"/>
        <v>管理岗</v>
      </c>
      <c r="E643" s="7" t="str">
        <f>"廖令剑"</f>
        <v>廖令剑</v>
      </c>
      <c r="F643" s="7" t="s">
        <v>39</v>
      </c>
      <c r="G643" s="7"/>
    </row>
    <row r="644" ht="18" customHeight="1" spans="1:7">
      <c r="A644" s="7">
        <v>642</v>
      </c>
      <c r="B644" s="7" t="str">
        <f>"0203"</f>
        <v>0203</v>
      </c>
      <c r="C644" s="7" t="s">
        <v>42</v>
      </c>
      <c r="D644" s="7" t="str">
        <f t="shared" si="43"/>
        <v>管理岗</v>
      </c>
      <c r="E644" s="7" t="str">
        <f>"刘亚兰"</f>
        <v>刘亚兰</v>
      </c>
      <c r="F644" s="7" t="s">
        <v>39</v>
      </c>
      <c r="G644" s="7"/>
    </row>
    <row r="645" ht="18" customHeight="1" spans="1:7">
      <c r="A645" s="7">
        <v>643</v>
      </c>
      <c r="B645" s="7" t="str">
        <f>"0207"</f>
        <v>0207</v>
      </c>
      <c r="C645" s="7" t="s">
        <v>43</v>
      </c>
      <c r="D645" s="7" t="str">
        <f t="shared" ref="D645:D654" si="46">"管理岗"</f>
        <v>管理岗</v>
      </c>
      <c r="E645" s="7" t="str">
        <f>"郑华"</f>
        <v>郑华</v>
      </c>
      <c r="F645" s="7" t="s">
        <v>39</v>
      </c>
      <c r="G645" s="7"/>
    </row>
    <row r="646" ht="18" customHeight="1" spans="1:7">
      <c r="A646" s="7">
        <v>644</v>
      </c>
      <c r="B646" s="7" t="str">
        <f>"0207"</f>
        <v>0207</v>
      </c>
      <c r="C646" s="7" t="s">
        <v>43</v>
      </c>
      <c r="D646" s="7" t="str">
        <f t="shared" si="46"/>
        <v>管理岗</v>
      </c>
      <c r="E646" s="7" t="str">
        <f>"杨昭青"</f>
        <v>杨昭青</v>
      </c>
      <c r="F646" s="7" t="s">
        <v>39</v>
      </c>
      <c r="G646" s="7"/>
    </row>
    <row r="647" ht="18" customHeight="1" spans="1:7">
      <c r="A647" s="7">
        <v>645</v>
      </c>
      <c r="B647" s="7" t="str">
        <f>"0207"</f>
        <v>0207</v>
      </c>
      <c r="C647" s="7" t="s">
        <v>43</v>
      </c>
      <c r="D647" s="7" t="str">
        <f t="shared" si="46"/>
        <v>管理岗</v>
      </c>
      <c r="E647" s="7" t="str">
        <f>"丁雪惠茹"</f>
        <v>丁雪惠茹</v>
      </c>
      <c r="F647" s="7" t="s">
        <v>39</v>
      </c>
      <c r="G647" s="7"/>
    </row>
    <row r="648" ht="18" customHeight="1" spans="1:7">
      <c r="A648" s="7">
        <v>646</v>
      </c>
      <c r="B648" s="7" t="str">
        <f>"0207"</f>
        <v>0207</v>
      </c>
      <c r="C648" s="7" t="s">
        <v>43</v>
      </c>
      <c r="D648" s="7" t="str">
        <f t="shared" si="46"/>
        <v>管理岗</v>
      </c>
      <c r="E648" s="7" t="str">
        <f>"曾佳伟"</f>
        <v>曾佳伟</v>
      </c>
      <c r="F648" s="7" t="s">
        <v>39</v>
      </c>
      <c r="G648" s="7"/>
    </row>
    <row r="649" ht="18" customHeight="1" spans="1:7">
      <c r="A649" s="7">
        <v>647</v>
      </c>
      <c r="B649" s="7" t="str">
        <f t="shared" ref="B649:B654" si="47">"0208"</f>
        <v>0208</v>
      </c>
      <c r="C649" s="7" t="s">
        <v>44</v>
      </c>
      <c r="D649" s="7" t="str">
        <f t="shared" si="46"/>
        <v>管理岗</v>
      </c>
      <c r="E649" s="7" t="str">
        <f>"田润叶"</f>
        <v>田润叶</v>
      </c>
      <c r="F649" s="7" t="s">
        <v>39</v>
      </c>
      <c r="G649" s="7"/>
    </row>
    <row r="650" ht="18" customHeight="1" spans="1:7">
      <c r="A650" s="7">
        <v>648</v>
      </c>
      <c r="B650" s="7" t="str">
        <f t="shared" si="47"/>
        <v>0208</v>
      </c>
      <c r="C650" s="7" t="s">
        <v>44</v>
      </c>
      <c r="D650" s="7" t="str">
        <f t="shared" si="46"/>
        <v>管理岗</v>
      </c>
      <c r="E650" s="7" t="str">
        <f>"李思佳"</f>
        <v>李思佳</v>
      </c>
      <c r="F650" s="7" t="s">
        <v>39</v>
      </c>
      <c r="G650" s="7"/>
    </row>
    <row r="651" ht="18" customHeight="1" spans="1:7">
      <c r="A651" s="7">
        <v>649</v>
      </c>
      <c r="B651" s="7" t="str">
        <f t="shared" si="47"/>
        <v>0208</v>
      </c>
      <c r="C651" s="7" t="s">
        <v>44</v>
      </c>
      <c r="D651" s="7" t="str">
        <f t="shared" si="46"/>
        <v>管理岗</v>
      </c>
      <c r="E651" s="7" t="str">
        <f>"张圆"</f>
        <v>张圆</v>
      </c>
      <c r="F651" s="7" t="s">
        <v>39</v>
      </c>
      <c r="G651" s="7"/>
    </row>
    <row r="652" ht="18" customHeight="1" spans="1:7">
      <c r="A652" s="7">
        <v>650</v>
      </c>
      <c r="B652" s="7" t="str">
        <f t="shared" si="47"/>
        <v>0208</v>
      </c>
      <c r="C652" s="7" t="s">
        <v>44</v>
      </c>
      <c r="D652" s="7" t="str">
        <f t="shared" si="46"/>
        <v>管理岗</v>
      </c>
      <c r="E652" s="7" t="str">
        <f>"袁旭文"</f>
        <v>袁旭文</v>
      </c>
      <c r="F652" s="7" t="s">
        <v>39</v>
      </c>
      <c r="G652" s="7"/>
    </row>
    <row r="653" ht="18" customHeight="1" spans="1:7">
      <c r="A653" s="7">
        <v>651</v>
      </c>
      <c r="B653" s="7" t="str">
        <f t="shared" si="47"/>
        <v>0208</v>
      </c>
      <c r="C653" s="7" t="s">
        <v>44</v>
      </c>
      <c r="D653" s="7" t="str">
        <f t="shared" si="46"/>
        <v>管理岗</v>
      </c>
      <c r="E653" s="7" t="str">
        <f>"贾逸群"</f>
        <v>贾逸群</v>
      </c>
      <c r="F653" s="7" t="s">
        <v>39</v>
      </c>
      <c r="G653" s="7"/>
    </row>
    <row r="654" ht="18" customHeight="1" spans="1:7">
      <c r="A654" s="7">
        <v>652</v>
      </c>
      <c r="B654" s="7" t="str">
        <f t="shared" si="47"/>
        <v>0208</v>
      </c>
      <c r="C654" s="7" t="s">
        <v>44</v>
      </c>
      <c r="D654" s="7" t="str">
        <f t="shared" si="46"/>
        <v>管理岗</v>
      </c>
      <c r="E654" s="7" t="str">
        <f>"高川"</f>
        <v>高川</v>
      </c>
      <c r="F654" s="7" t="s">
        <v>39</v>
      </c>
      <c r="G654" s="7"/>
    </row>
    <row r="655" ht="18" customHeight="1" spans="1:7">
      <c r="A655" s="7">
        <v>653</v>
      </c>
      <c r="B655" s="7" t="str">
        <f t="shared" ref="B655:B690" si="48">"0301"</f>
        <v>0301</v>
      </c>
      <c r="C655" s="7" t="s">
        <v>45</v>
      </c>
      <c r="D655" s="7" t="str">
        <f t="shared" ref="D655:D672" si="49">"辅导员岗"</f>
        <v>辅导员岗</v>
      </c>
      <c r="E655" s="7" t="str">
        <f>"张丽圆"</f>
        <v>张丽圆</v>
      </c>
      <c r="F655" s="7" t="s">
        <v>46</v>
      </c>
      <c r="G655" s="7"/>
    </row>
    <row r="656" ht="18" customHeight="1" spans="1:7">
      <c r="A656" s="7">
        <v>654</v>
      </c>
      <c r="B656" s="7" t="str">
        <f t="shared" si="48"/>
        <v>0301</v>
      </c>
      <c r="C656" s="7" t="s">
        <v>45</v>
      </c>
      <c r="D656" s="7" t="str">
        <f t="shared" si="49"/>
        <v>辅导员岗</v>
      </c>
      <c r="E656" s="7" t="str">
        <f>"许丹"</f>
        <v>许丹</v>
      </c>
      <c r="F656" s="7" t="s">
        <v>46</v>
      </c>
      <c r="G656" s="7"/>
    </row>
    <row r="657" ht="18" customHeight="1" spans="1:7">
      <c r="A657" s="7">
        <v>655</v>
      </c>
      <c r="B657" s="7" t="str">
        <f t="shared" si="48"/>
        <v>0301</v>
      </c>
      <c r="C657" s="7" t="s">
        <v>45</v>
      </c>
      <c r="D657" s="7" t="str">
        <f t="shared" si="49"/>
        <v>辅导员岗</v>
      </c>
      <c r="E657" s="7" t="str">
        <f>"丁金金"</f>
        <v>丁金金</v>
      </c>
      <c r="F657" s="7" t="s">
        <v>46</v>
      </c>
      <c r="G657" s="7"/>
    </row>
    <row r="658" ht="18" customHeight="1" spans="1:7">
      <c r="A658" s="7">
        <v>656</v>
      </c>
      <c r="B658" s="7" t="str">
        <f t="shared" si="48"/>
        <v>0301</v>
      </c>
      <c r="C658" s="7" t="s">
        <v>45</v>
      </c>
      <c r="D658" s="7" t="str">
        <f t="shared" si="49"/>
        <v>辅导员岗</v>
      </c>
      <c r="E658" s="7" t="str">
        <f>"林红杏"</f>
        <v>林红杏</v>
      </c>
      <c r="F658" s="7" t="s">
        <v>46</v>
      </c>
      <c r="G658" s="7"/>
    </row>
    <row r="659" ht="18" customHeight="1" spans="1:7">
      <c r="A659" s="7">
        <v>657</v>
      </c>
      <c r="B659" s="7" t="str">
        <f t="shared" si="48"/>
        <v>0301</v>
      </c>
      <c r="C659" s="7" t="s">
        <v>45</v>
      </c>
      <c r="D659" s="7" t="str">
        <f t="shared" si="49"/>
        <v>辅导员岗</v>
      </c>
      <c r="E659" s="7" t="str">
        <f>"吴吉叶"</f>
        <v>吴吉叶</v>
      </c>
      <c r="F659" s="7" t="s">
        <v>46</v>
      </c>
      <c r="G659" s="7"/>
    </row>
    <row r="660" ht="18" customHeight="1" spans="1:7">
      <c r="A660" s="7">
        <v>658</v>
      </c>
      <c r="B660" s="7" t="str">
        <f t="shared" si="48"/>
        <v>0301</v>
      </c>
      <c r="C660" s="7" t="s">
        <v>45</v>
      </c>
      <c r="D660" s="7" t="str">
        <f t="shared" si="49"/>
        <v>辅导员岗</v>
      </c>
      <c r="E660" s="7" t="str">
        <f>"宣小莲"</f>
        <v>宣小莲</v>
      </c>
      <c r="F660" s="7" t="s">
        <v>46</v>
      </c>
      <c r="G660" s="7"/>
    </row>
    <row r="661" ht="18" customHeight="1" spans="1:7">
      <c r="A661" s="7">
        <v>659</v>
      </c>
      <c r="B661" s="7" t="str">
        <f t="shared" si="48"/>
        <v>0301</v>
      </c>
      <c r="C661" s="7" t="s">
        <v>45</v>
      </c>
      <c r="D661" s="7" t="str">
        <f t="shared" si="49"/>
        <v>辅导员岗</v>
      </c>
      <c r="E661" s="7" t="str">
        <f>"李越"</f>
        <v>李越</v>
      </c>
      <c r="F661" s="7" t="s">
        <v>46</v>
      </c>
      <c r="G661" s="7"/>
    </row>
    <row r="662" ht="18" customHeight="1" spans="1:7">
      <c r="A662" s="7">
        <v>660</v>
      </c>
      <c r="B662" s="7" t="str">
        <f t="shared" si="48"/>
        <v>0301</v>
      </c>
      <c r="C662" s="7" t="s">
        <v>45</v>
      </c>
      <c r="D662" s="7" t="str">
        <f t="shared" si="49"/>
        <v>辅导员岗</v>
      </c>
      <c r="E662" s="7" t="str">
        <f>"徐文凤"</f>
        <v>徐文凤</v>
      </c>
      <c r="F662" s="7" t="s">
        <v>46</v>
      </c>
      <c r="G662" s="7"/>
    </row>
    <row r="663" ht="18" customHeight="1" spans="1:7">
      <c r="A663" s="7">
        <v>661</v>
      </c>
      <c r="B663" s="7" t="str">
        <f t="shared" si="48"/>
        <v>0301</v>
      </c>
      <c r="C663" s="7" t="s">
        <v>45</v>
      </c>
      <c r="D663" s="7" t="str">
        <f t="shared" si="49"/>
        <v>辅导员岗</v>
      </c>
      <c r="E663" s="7" t="str">
        <f>"张璇"</f>
        <v>张璇</v>
      </c>
      <c r="F663" s="7" t="s">
        <v>46</v>
      </c>
      <c r="G663" s="7"/>
    </row>
    <row r="664" ht="18" customHeight="1" spans="1:7">
      <c r="A664" s="7">
        <v>662</v>
      </c>
      <c r="B664" s="7" t="str">
        <f t="shared" si="48"/>
        <v>0301</v>
      </c>
      <c r="C664" s="7" t="s">
        <v>45</v>
      </c>
      <c r="D664" s="7" t="str">
        <f t="shared" si="49"/>
        <v>辅导员岗</v>
      </c>
      <c r="E664" s="7" t="str">
        <f>"成霏雪"</f>
        <v>成霏雪</v>
      </c>
      <c r="F664" s="7" t="s">
        <v>46</v>
      </c>
      <c r="G664" s="7"/>
    </row>
    <row r="665" ht="18" customHeight="1" spans="1:7">
      <c r="A665" s="7">
        <v>663</v>
      </c>
      <c r="B665" s="7" t="str">
        <f t="shared" si="48"/>
        <v>0301</v>
      </c>
      <c r="C665" s="7" t="s">
        <v>45</v>
      </c>
      <c r="D665" s="7" t="str">
        <f t="shared" si="49"/>
        <v>辅导员岗</v>
      </c>
      <c r="E665" s="7" t="str">
        <f>"李金蔚"</f>
        <v>李金蔚</v>
      </c>
      <c r="F665" s="7" t="s">
        <v>46</v>
      </c>
      <c r="G665" s="7"/>
    </row>
    <row r="666" ht="18" customHeight="1" spans="1:7">
      <c r="A666" s="7">
        <v>664</v>
      </c>
      <c r="B666" s="7" t="str">
        <f t="shared" si="48"/>
        <v>0301</v>
      </c>
      <c r="C666" s="7" t="s">
        <v>45</v>
      </c>
      <c r="D666" s="7" t="str">
        <f t="shared" si="49"/>
        <v>辅导员岗</v>
      </c>
      <c r="E666" s="7" t="str">
        <f>"李思"</f>
        <v>李思</v>
      </c>
      <c r="F666" s="7" t="s">
        <v>46</v>
      </c>
      <c r="G666" s="7"/>
    </row>
    <row r="667" ht="18" customHeight="1" spans="1:7">
      <c r="A667" s="7">
        <v>665</v>
      </c>
      <c r="B667" s="7" t="str">
        <f t="shared" si="48"/>
        <v>0301</v>
      </c>
      <c r="C667" s="7" t="s">
        <v>45</v>
      </c>
      <c r="D667" s="7" t="str">
        <f t="shared" si="49"/>
        <v>辅导员岗</v>
      </c>
      <c r="E667" s="7" t="str">
        <f>"尹春香"</f>
        <v>尹春香</v>
      </c>
      <c r="F667" s="7" t="s">
        <v>46</v>
      </c>
      <c r="G667" s="7"/>
    </row>
    <row r="668" ht="18" customHeight="1" spans="1:7">
      <c r="A668" s="7">
        <v>666</v>
      </c>
      <c r="B668" s="7" t="str">
        <f t="shared" si="48"/>
        <v>0301</v>
      </c>
      <c r="C668" s="7" t="s">
        <v>45</v>
      </c>
      <c r="D668" s="7" t="str">
        <f t="shared" si="49"/>
        <v>辅导员岗</v>
      </c>
      <c r="E668" s="7" t="str">
        <f>"巴涵梦"</f>
        <v>巴涵梦</v>
      </c>
      <c r="F668" s="7" t="s">
        <v>46</v>
      </c>
      <c r="G668" s="7"/>
    </row>
    <row r="669" ht="18" customHeight="1" spans="1:7">
      <c r="A669" s="7">
        <v>667</v>
      </c>
      <c r="B669" s="7" t="str">
        <f t="shared" si="48"/>
        <v>0301</v>
      </c>
      <c r="C669" s="7" t="s">
        <v>45</v>
      </c>
      <c r="D669" s="7" t="str">
        <f t="shared" si="49"/>
        <v>辅导员岗</v>
      </c>
      <c r="E669" s="7" t="str">
        <f>"车萌"</f>
        <v>车萌</v>
      </c>
      <c r="F669" s="7" t="s">
        <v>46</v>
      </c>
      <c r="G669" s="7"/>
    </row>
    <row r="670" ht="18" customHeight="1" spans="1:7">
      <c r="A670" s="7">
        <v>668</v>
      </c>
      <c r="B670" s="7" t="str">
        <f t="shared" si="48"/>
        <v>0301</v>
      </c>
      <c r="C670" s="7" t="s">
        <v>45</v>
      </c>
      <c r="D670" s="7" t="str">
        <f t="shared" si="49"/>
        <v>辅导员岗</v>
      </c>
      <c r="E670" s="7" t="str">
        <f>"石慧"</f>
        <v>石慧</v>
      </c>
      <c r="F670" s="7" t="s">
        <v>46</v>
      </c>
      <c r="G670" s="7"/>
    </row>
    <row r="671" ht="18" customHeight="1" spans="1:7">
      <c r="A671" s="7">
        <v>669</v>
      </c>
      <c r="B671" s="7" t="str">
        <f t="shared" si="48"/>
        <v>0301</v>
      </c>
      <c r="C671" s="7" t="s">
        <v>45</v>
      </c>
      <c r="D671" s="7" t="str">
        <f t="shared" si="49"/>
        <v>辅导员岗</v>
      </c>
      <c r="E671" s="7" t="str">
        <f>"张伊莹"</f>
        <v>张伊莹</v>
      </c>
      <c r="F671" s="7" t="s">
        <v>46</v>
      </c>
      <c r="G671" s="7"/>
    </row>
    <row r="672" ht="18" customHeight="1" spans="1:7">
      <c r="A672" s="7">
        <v>670</v>
      </c>
      <c r="B672" s="7" t="str">
        <f t="shared" si="48"/>
        <v>0301</v>
      </c>
      <c r="C672" s="7" t="s">
        <v>45</v>
      </c>
      <c r="D672" s="7" t="str">
        <f t="shared" si="49"/>
        <v>辅导员岗</v>
      </c>
      <c r="E672" s="7" t="str">
        <f>"陈运坤"</f>
        <v>陈运坤</v>
      </c>
      <c r="F672" s="7" t="s">
        <v>46</v>
      </c>
      <c r="G672" s="7"/>
    </row>
    <row r="673" ht="18" customHeight="1" spans="1:7">
      <c r="A673" s="7">
        <v>671</v>
      </c>
      <c r="B673" s="7" t="str">
        <f t="shared" si="48"/>
        <v>0301</v>
      </c>
      <c r="C673" s="7" t="s">
        <v>45</v>
      </c>
      <c r="D673" s="7" t="s">
        <v>47</v>
      </c>
      <c r="E673" s="7" t="str">
        <f>"张琳悦"</f>
        <v>张琳悦</v>
      </c>
      <c r="F673" s="7" t="s">
        <v>46</v>
      </c>
      <c r="G673" s="7"/>
    </row>
    <row r="674" ht="18" customHeight="1" spans="1:7">
      <c r="A674" s="7">
        <v>672</v>
      </c>
      <c r="B674" s="7" t="str">
        <f t="shared" si="48"/>
        <v>0301</v>
      </c>
      <c r="C674" s="7" t="s">
        <v>45</v>
      </c>
      <c r="D674" s="7" t="str">
        <f t="shared" ref="D674:D690" si="50">"辅导员岗"</f>
        <v>辅导员岗</v>
      </c>
      <c r="E674" s="7" t="str">
        <f>"蔺晓玥"</f>
        <v>蔺晓玥</v>
      </c>
      <c r="F674" s="7" t="s">
        <v>46</v>
      </c>
      <c r="G674" s="7"/>
    </row>
    <row r="675" ht="18" customHeight="1" spans="1:7">
      <c r="A675" s="7">
        <v>673</v>
      </c>
      <c r="B675" s="7" t="str">
        <f t="shared" si="48"/>
        <v>0301</v>
      </c>
      <c r="C675" s="7" t="s">
        <v>45</v>
      </c>
      <c r="D675" s="7" t="str">
        <f t="shared" si="50"/>
        <v>辅导员岗</v>
      </c>
      <c r="E675" s="7" t="str">
        <f>"宋娜"</f>
        <v>宋娜</v>
      </c>
      <c r="F675" s="7" t="s">
        <v>46</v>
      </c>
      <c r="G675" s="7"/>
    </row>
    <row r="676" ht="18" customHeight="1" spans="1:7">
      <c r="A676" s="7">
        <v>674</v>
      </c>
      <c r="B676" s="7" t="str">
        <f t="shared" si="48"/>
        <v>0301</v>
      </c>
      <c r="C676" s="7" t="s">
        <v>45</v>
      </c>
      <c r="D676" s="7" t="str">
        <f t="shared" si="50"/>
        <v>辅导员岗</v>
      </c>
      <c r="E676" s="7" t="str">
        <f>"刘子略"</f>
        <v>刘子略</v>
      </c>
      <c r="F676" s="7" t="s">
        <v>46</v>
      </c>
      <c r="G676" s="7"/>
    </row>
    <row r="677" ht="18" customHeight="1" spans="1:7">
      <c r="A677" s="7">
        <v>675</v>
      </c>
      <c r="B677" s="7" t="str">
        <f t="shared" si="48"/>
        <v>0301</v>
      </c>
      <c r="C677" s="7" t="s">
        <v>45</v>
      </c>
      <c r="D677" s="7" t="str">
        <f t="shared" si="50"/>
        <v>辅导员岗</v>
      </c>
      <c r="E677" s="7" t="str">
        <f>"郑丽旧"</f>
        <v>郑丽旧</v>
      </c>
      <c r="F677" s="7" t="s">
        <v>46</v>
      </c>
      <c r="G677" s="7"/>
    </row>
    <row r="678" ht="18" customHeight="1" spans="1:7">
      <c r="A678" s="7">
        <v>676</v>
      </c>
      <c r="B678" s="7" t="str">
        <f t="shared" si="48"/>
        <v>0301</v>
      </c>
      <c r="C678" s="7" t="s">
        <v>45</v>
      </c>
      <c r="D678" s="7" t="str">
        <f t="shared" si="50"/>
        <v>辅导员岗</v>
      </c>
      <c r="E678" s="7" t="str">
        <f>"陈珏竹"</f>
        <v>陈珏竹</v>
      </c>
      <c r="F678" s="7" t="s">
        <v>46</v>
      </c>
      <c r="G678" s="7"/>
    </row>
    <row r="679" ht="18" customHeight="1" spans="1:7">
      <c r="A679" s="7">
        <v>677</v>
      </c>
      <c r="B679" s="7" t="str">
        <f t="shared" si="48"/>
        <v>0301</v>
      </c>
      <c r="C679" s="7" t="s">
        <v>45</v>
      </c>
      <c r="D679" s="7" t="str">
        <f t="shared" si="50"/>
        <v>辅导员岗</v>
      </c>
      <c r="E679" s="7" t="str">
        <f>"向凯萍"</f>
        <v>向凯萍</v>
      </c>
      <c r="F679" s="7" t="s">
        <v>46</v>
      </c>
      <c r="G679" s="7"/>
    </row>
    <row r="680" ht="18" customHeight="1" spans="1:7">
      <c r="A680" s="7">
        <v>678</v>
      </c>
      <c r="B680" s="7" t="str">
        <f t="shared" si="48"/>
        <v>0301</v>
      </c>
      <c r="C680" s="7" t="s">
        <v>45</v>
      </c>
      <c r="D680" s="7" t="str">
        <f t="shared" si="50"/>
        <v>辅导员岗</v>
      </c>
      <c r="E680" s="7" t="str">
        <f>"柳向娟"</f>
        <v>柳向娟</v>
      </c>
      <c r="F680" s="7" t="s">
        <v>46</v>
      </c>
      <c r="G680" s="7"/>
    </row>
    <row r="681" ht="18" customHeight="1" spans="1:7">
      <c r="A681" s="7">
        <v>679</v>
      </c>
      <c r="B681" s="7" t="str">
        <f t="shared" si="48"/>
        <v>0301</v>
      </c>
      <c r="C681" s="7" t="s">
        <v>45</v>
      </c>
      <c r="D681" s="7" t="str">
        <f t="shared" si="50"/>
        <v>辅导员岗</v>
      </c>
      <c r="E681" s="7" t="str">
        <f>"盖悦"</f>
        <v>盖悦</v>
      </c>
      <c r="F681" s="7" t="s">
        <v>46</v>
      </c>
      <c r="G681" s="7"/>
    </row>
    <row r="682" ht="18" customHeight="1" spans="1:7">
      <c r="A682" s="7">
        <v>680</v>
      </c>
      <c r="B682" s="7" t="str">
        <f t="shared" si="48"/>
        <v>0301</v>
      </c>
      <c r="C682" s="7" t="s">
        <v>45</v>
      </c>
      <c r="D682" s="7" t="str">
        <f t="shared" si="50"/>
        <v>辅导员岗</v>
      </c>
      <c r="E682" s="7" t="str">
        <f>"郑馨前"</f>
        <v>郑馨前</v>
      </c>
      <c r="F682" s="7" t="s">
        <v>46</v>
      </c>
      <c r="G682" s="7"/>
    </row>
    <row r="683" ht="18" customHeight="1" spans="1:7">
      <c r="A683" s="7">
        <v>681</v>
      </c>
      <c r="B683" s="7" t="str">
        <f t="shared" si="48"/>
        <v>0301</v>
      </c>
      <c r="C683" s="7" t="s">
        <v>45</v>
      </c>
      <c r="D683" s="7" t="str">
        <f t="shared" si="50"/>
        <v>辅导员岗</v>
      </c>
      <c r="E683" s="7" t="str">
        <f>"张子奇"</f>
        <v>张子奇</v>
      </c>
      <c r="F683" s="7" t="s">
        <v>46</v>
      </c>
      <c r="G683" s="7"/>
    </row>
    <row r="684" ht="18" customHeight="1" spans="1:7">
      <c r="A684" s="7">
        <v>682</v>
      </c>
      <c r="B684" s="7" t="str">
        <f t="shared" si="48"/>
        <v>0301</v>
      </c>
      <c r="C684" s="7" t="s">
        <v>45</v>
      </c>
      <c r="D684" s="7" t="str">
        <f t="shared" si="50"/>
        <v>辅导员岗</v>
      </c>
      <c r="E684" s="7" t="str">
        <f>"张琳莉"</f>
        <v>张琳莉</v>
      </c>
      <c r="F684" s="7" t="s">
        <v>46</v>
      </c>
      <c r="G684" s="7"/>
    </row>
    <row r="685" ht="18" customHeight="1" spans="1:7">
      <c r="A685" s="7">
        <v>683</v>
      </c>
      <c r="B685" s="7" t="str">
        <f t="shared" si="48"/>
        <v>0301</v>
      </c>
      <c r="C685" s="7" t="s">
        <v>45</v>
      </c>
      <c r="D685" s="7" t="str">
        <f t="shared" si="50"/>
        <v>辅导员岗</v>
      </c>
      <c r="E685" s="7" t="str">
        <f>"曹珺芸"</f>
        <v>曹珺芸</v>
      </c>
      <c r="F685" s="7" t="s">
        <v>46</v>
      </c>
      <c r="G685" s="7"/>
    </row>
    <row r="686" ht="18" customHeight="1" spans="1:7">
      <c r="A686" s="7">
        <v>684</v>
      </c>
      <c r="B686" s="7" t="str">
        <f t="shared" si="48"/>
        <v>0301</v>
      </c>
      <c r="C686" s="7" t="s">
        <v>45</v>
      </c>
      <c r="D686" s="7" t="str">
        <f t="shared" si="50"/>
        <v>辅导员岗</v>
      </c>
      <c r="E686" s="7" t="str">
        <f>"郑亚梅"</f>
        <v>郑亚梅</v>
      </c>
      <c r="F686" s="7" t="s">
        <v>46</v>
      </c>
      <c r="G686" s="7"/>
    </row>
    <row r="687" ht="18" customHeight="1" spans="1:7">
      <c r="A687" s="7">
        <v>685</v>
      </c>
      <c r="B687" s="7" t="str">
        <f t="shared" si="48"/>
        <v>0301</v>
      </c>
      <c r="C687" s="7" t="s">
        <v>45</v>
      </c>
      <c r="D687" s="7" t="str">
        <f t="shared" si="50"/>
        <v>辅导员岗</v>
      </c>
      <c r="E687" s="7" t="str">
        <f>"符若儿"</f>
        <v>符若儿</v>
      </c>
      <c r="F687" s="7" t="s">
        <v>46</v>
      </c>
      <c r="G687" s="7"/>
    </row>
    <row r="688" ht="18" customHeight="1" spans="1:7">
      <c r="A688" s="7">
        <v>686</v>
      </c>
      <c r="B688" s="7" t="str">
        <f t="shared" si="48"/>
        <v>0301</v>
      </c>
      <c r="C688" s="7" t="s">
        <v>45</v>
      </c>
      <c r="D688" s="7" t="str">
        <f t="shared" si="50"/>
        <v>辅导员岗</v>
      </c>
      <c r="E688" s="7" t="str">
        <f>"钱定怡"</f>
        <v>钱定怡</v>
      </c>
      <c r="F688" s="7" t="s">
        <v>46</v>
      </c>
      <c r="G688" s="7"/>
    </row>
    <row r="689" ht="18" customHeight="1" spans="1:7">
      <c r="A689" s="7">
        <v>687</v>
      </c>
      <c r="B689" s="7" t="str">
        <f t="shared" si="48"/>
        <v>0301</v>
      </c>
      <c r="C689" s="7" t="s">
        <v>45</v>
      </c>
      <c r="D689" s="7" t="str">
        <f t="shared" si="50"/>
        <v>辅导员岗</v>
      </c>
      <c r="E689" s="7" t="str">
        <f>"田泽旭"</f>
        <v>田泽旭</v>
      </c>
      <c r="F689" s="7" t="s">
        <v>46</v>
      </c>
      <c r="G689" s="7"/>
    </row>
    <row r="690" ht="18" customHeight="1" spans="1:7">
      <c r="A690" s="7">
        <v>688</v>
      </c>
      <c r="B690" s="7" t="str">
        <f t="shared" si="48"/>
        <v>0301</v>
      </c>
      <c r="C690" s="7" t="s">
        <v>45</v>
      </c>
      <c r="D690" s="7" t="str">
        <f t="shared" si="50"/>
        <v>辅导员岗</v>
      </c>
      <c r="E690" s="7" t="str">
        <f>"李佳佳"</f>
        <v>李佳佳</v>
      </c>
      <c r="F690" s="7" t="s">
        <v>46</v>
      </c>
      <c r="G690" s="7"/>
    </row>
    <row r="691" ht="18" customHeight="1" spans="1:7">
      <c r="A691" s="7">
        <v>689</v>
      </c>
      <c r="B691" s="7" t="str">
        <f t="shared" ref="B691:B737" si="51">"0301"</f>
        <v>0301</v>
      </c>
      <c r="C691" s="7" t="s">
        <v>45</v>
      </c>
      <c r="D691" s="7" t="str">
        <f t="shared" ref="D691:D754" si="52">"辅导员岗"</f>
        <v>辅导员岗</v>
      </c>
      <c r="E691" s="7" t="str">
        <f>"王团子"</f>
        <v>王团子</v>
      </c>
      <c r="F691" s="7" t="s">
        <v>46</v>
      </c>
      <c r="G691" s="7"/>
    </row>
    <row r="692" ht="18" customHeight="1" spans="1:7">
      <c r="A692" s="7">
        <v>690</v>
      </c>
      <c r="B692" s="7" t="str">
        <f t="shared" si="51"/>
        <v>0301</v>
      </c>
      <c r="C692" s="7" t="s">
        <v>45</v>
      </c>
      <c r="D692" s="7" t="str">
        <f t="shared" si="52"/>
        <v>辅导员岗</v>
      </c>
      <c r="E692" s="7" t="str">
        <f>"周芷莹"</f>
        <v>周芷莹</v>
      </c>
      <c r="F692" s="7" t="s">
        <v>46</v>
      </c>
      <c r="G692" s="7"/>
    </row>
    <row r="693" ht="18" customHeight="1" spans="1:7">
      <c r="A693" s="7">
        <v>691</v>
      </c>
      <c r="B693" s="7" t="str">
        <f t="shared" si="51"/>
        <v>0301</v>
      </c>
      <c r="C693" s="7" t="s">
        <v>45</v>
      </c>
      <c r="D693" s="7" t="str">
        <f t="shared" si="52"/>
        <v>辅导员岗</v>
      </c>
      <c r="E693" s="7" t="str">
        <f>"伍巧慧"</f>
        <v>伍巧慧</v>
      </c>
      <c r="F693" s="7" t="s">
        <v>46</v>
      </c>
      <c r="G693" s="7"/>
    </row>
    <row r="694" ht="18" customHeight="1" spans="1:7">
      <c r="A694" s="7">
        <v>692</v>
      </c>
      <c r="B694" s="7" t="str">
        <f t="shared" si="51"/>
        <v>0301</v>
      </c>
      <c r="C694" s="7" t="s">
        <v>45</v>
      </c>
      <c r="D694" s="7" t="str">
        <f t="shared" si="52"/>
        <v>辅导员岗</v>
      </c>
      <c r="E694" s="7" t="str">
        <f>"鲍婉宜"</f>
        <v>鲍婉宜</v>
      </c>
      <c r="F694" s="7" t="s">
        <v>46</v>
      </c>
      <c r="G694" s="7"/>
    </row>
    <row r="695" ht="18" customHeight="1" spans="1:7">
      <c r="A695" s="7">
        <v>693</v>
      </c>
      <c r="B695" s="7" t="str">
        <f t="shared" si="51"/>
        <v>0301</v>
      </c>
      <c r="C695" s="7" t="s">
        <v>45</v>
      </c>
      <c r="D695" s="7" t="str">
        <f t="shared" si="52"/>
        <v>辅导员岗</v>
      </c>
      <c r="E695" s="7" t="str">
        <f>"周霞"</f>
        <v>周霞</v>
      </c>
      <c r="F695" s="7" t="s">
        <v>46</v>
      </c>
      <c r="G695" s="7"/>
    </row>
    <row r="696" ht="18" customHeight="1" spans="1:7">
      <c r="A696" s="7">
        <v>694</v>
      </c>
      <c r="B696" s="7" t="str">
        <f t="shared" si="51"/>
        <v>0301</v>
      </c>
      <c r="C696" s="7" t="s">
        <v>45</v>
      </c>
      <c r="D696" s="7" t="str">
        <f t="shared" si="52"/>
        <v>辅导员岗</v>
      </c>
      <c r="E696" s="7" t="str">
        <f>"任卓一"</f>
        <v>任卓一</v>
      </c>
      <c r="F696" s="7" t="s">
        <v>46</v>
      </c>
      <c r="G696" s="7"/>
    </row>
    <row r="697" ht="18" customHeight="1" spans="1:7">
      <c r="A697" s="7">
        <v>695</v>
      </c>
      <c r="B697" s="7" t="str">
        <f t="shared" si="51"/>
        <v>0301</v>
      </c>
      <c r="C697" s="7" t="s">
        <v>45</v>
      </c>
      <c r="D697" s="7" t="str">
        <f t="shared" si="52"/>
        <v>辅导员岗</v>
      </c>
      <c r="E697" s="7" t="str">
        <f>"刘越怡"</f>
        <v>刘越怡</v>
      </c>
      <c r="F697" s="7" t="s">
        <v>46</v>
      </c>
      <c r="G697" s="7"/>
    </row>
    <row r="698" ht="18" customHeight="1" spans="1:7">
      <c r="A698" s="7">
        <v>696</v>
      </c>
      <c r="B698" s="7" t="str">
        <f t="shared" si="51"/>
        <v>0301</v>
      </c>
      <c r="C698" s="7" t="s">
        <v>45</v>
      </c>
      <c r="D698" s="7" t="str">
        <f t="shared" si="52"/>
        <v>辅导员岗</v>
      </c>
      <c r="E698" s="7" t="str">
        <f>"范秋云"</f>
        <v>范秋云</v>
      </c>
      <c r="F698" s="7" t="s">
        <v>46</v>
      </c>
      <c r="G698" s="7"/>
    </row>
    <row r="699" ht="18" customHeight="1" spans="1:7">
      <c r="A699" s="7">
        <v>697</v>
      </c>
      <c r="B699" s="7" t="str">
        <f t="shared" si="51"/>
        <v>0301</v>
      </c>
      <c r="C699" s="7" t="s">
        <v>45</v>
      </c>
      <c r="D699" s="7" t="str">
        <f t="shared" si="52"/>
        <v>辅导员岗</v>
      </c>
      <c r="E699" s="7" t="str">
        <f>"常玲丽"</f>
        <v>常玲丽</v>
      </c>
      <c r="F699" s="7" t="s">
        <v>46</v>
      </c>
      <c r="G699" s="7"/>
    </row>
    <row r="700" ht="18" customHeight="1" spans="1:7">
      <c r="A700" s="7">
        <v>698</v>
      </c>
      <c r="B700" s="7" t="str">
        <f t="shared" si="51"/>
        <v>0301</v>
      </c>
      <c r="C700" s="7" t="s">
        <v>45</v>
      </c>
      <c r="D700" s="7" t="str">
        <f t="shared" si="52"/>
        <v>辅导员岗</v>
      </c>
      <c r="E700" s="7" t="str">
        <f>"张彤"</f>
        <v>张彤</v>
      </c>
      <c r="F700" s="7" t="s">
        <v>46</v>
      </c>
      <c r="G700" s="7"/>
    </row>
    <row r="701" ht="18" customHeight="1" spans="1:7">
      <c r="A701" s="7">
        <v>699</v>
      </c>
      <c r="B701" s="7" t="str">
        <f t="shared" si="51"/>
        <v>0301</v>
      </c>
      <c r="C701" s="7" t="s">
        <v>45</v>
      </c>
      <c r="D701" s="7" t="str">
        <f t="shared" si="52"/>
        <v>辅导员岗</v>
      </c>
      <c r="E701" s="7" t="str">
        <f>"李君君"</f>
        <v>李君君</v>
      </c>
      <c r="F701" s="7" t="s">
        <v>46</v>
      </c>
      <c r="G701" s="7"/>
    </row>
    <row r="702" ht="18" customHeight="1" spans="1:7">
      <c r="A702" s="7">
        <v>700</v>
      </c>
      <c r="B702" s="7" t="str">
        <f t="shared" si="51"/>
        <v>0301</v>
      </c>
      <c r="C702" s="7" t="s">
        <v>45</v>
      </c>
      <c r="D702" s="7" t="str">
        <f t="shared" si="52"/>
        <v>辅导员岗</v>
      </c>
      <c r="E702" s="7" t="str">
        <f>"曾琴"</f>
        <v>曾琴</v>
      </c>
      <c r="F702" s="7" t="s">
        <v>46</v>
      </c>
      <c r="G702" s="7"/>
    </row>
    <row r="703" ht="18" customHeight="1" spans="1:7">
      <c r="A703" s="7">
        <v>701</v>
      </c>
      <c r="B703" s="7" t="str">
        <f t="shared" si="51"/>
        <v>0301</v>
      </c>
      <c r="C703" s="7" t="s">
        <v>45</v>
      </c>
      <c r="D703" s="7" t="str">
        <f t="shared" si="52"/>
        <v>辅导员岗</v>
      </c>
      <c r="E703" s="7" t="str">
        <f>"王司雯"</f>
        <v>王司雯</v>
      </c>
      <c r="F703" s="7" t="s">
        <v>46</v>
      </c>
      <c r="G703" s="7"/>
    </row>
    <row r="704" ht="18" customHeight="1" spans="1:7">
      <c r="A704" s="7">
        <v>702</v>
      </c>
      <c r="B704" s="7" t="str">
        <f t="shared" si="51"/>
        <v>0301</v>
      </c>
      <c r="C704" s="7" t="s">
        <v>45</v>
      </c>
      <c r="D704" s="7" t="str">
        <f t="shared" si="52"/>
        <v>辅导员岗</v>
      </c>
      <c r="E704" s="7" t="str">
        <f>"陈梓瑜"</f>
        <v>陈梓瑜</v>
      </c>
      <c r="F704" s="7" t="s">
        <v>46</v>
      </c>
      <c r="G704" s="7"/>
    </row>
    <row r="705" ht="18" customHeight="1" spans="1:7">
      <c r="A705" s="7">
        <v>703</v>
      </c>
      <c r="B705" s="7" t="str">
        <f t="shared" si="51"/>
        <v>0301</v>
      </c>
      <c r="C705" s="7" t="s">
        <v>45</v>
      </c>
      <c r="D705" s="7" t="str">
        <f t="shared" si="52"/>
        <v>辅导员岗</v>
      </c>
      <c r="E705" s="7" t="str">
        <f>"齐振英"</f>
        <v>齐振英</v>
      </c>
      <c r="F705" s="7" t="s">
        <v>46</v>
      </c>
      <c r="G705" s="7"/>
    </row>
    <row r="706" ht="18" customHeight="1" spans="1:7">
      <c r="A706" s="7">
        <v>704</v>
      </c>
      <c r="B706" s="7" t="str">
        <f t="shared" si="51"/>
        <v>0301</v>
      </c>
      <c r="C706" s="7" t="s">
        <v>45</v>
      </c>
      <c r="D706" s="7" t="str">
        <f t="shared" si="52"/>
        <v>辅导员岗</v>
      </c>
      <c r="E706" s="7" t="str">
        <f>"黄文萱"</f>
        <v>黄文萱</v>
      </c>
      <c r="F706" s="7" t="s">
        <v>46</v>
      </c>
      <c r="G706" s="7"/>
    </row>
    <row r="707" ht="18" customHeight="1" spans="1:7">
      <c r="A707" s="7">
        <v>705</v>
      </c>
      <c r="B707" s="7" t="str">
        <f t="shared" si="51"/>
        <v>0301</v>
      </c>
      <c r="C707" s="7" t="s">
        <v>45</v>
      </c>
      <c r="D707" s="7" t="str">
        <f t="shared" si="52"/>
        <v>辅导员岗</v>
      </c>
      <c r="E707" s="7" t="str">
        <f>"郭加"</f>
        <v>郭加</v>
      </c>
      <c r="F707" s="7" t="s">
        <v>46</v>
      </c>
      <c r="G707" s="7"/>
    </row>
    <row r="708" ht="18" customHeight="1" spans="1:7">
      <c r="A708" s="7">
        <v>706</v>
      </c>
      <c r="B708" s="7" t="str">
        <f t="shared" si="51"/>
        <v>0301</v>
      </c>
      <c r="C708" s="7" t="s">
        <v>45</v>
      </c>
      <c r="D708" s="7" t="str">
        <f t="shared" si="52"/>
        <v>辅导员岗</v>
      </c>
      <c r="E708" s="7" t="str">
        <f>"容亚梅"</f>
        <v>容亚梅</v>
      </c>
      <c r="F708" s="7" t="s">
        <v>46</v>
      </c>
      <c r="G708" s="7"/>
    </row>
    <row r="709" ht="18" customHeight="1" spans="1:7">
      <c r="A709" s="7">
        <v>707</v>
      </c>
      <c r="B709" s="7" t="str">
        <f t="shared" si="51"/>
        <v>0301</v>
      </c>
      <c r="C709" s="7" t="s">
        <v>45</v>
      </c>
      <c r="D709" s="7" t="str">
        <f t="shared" si="52"/>
        <v>辅导员岗</v>
      </c>
      <c r="E709" s="7" t="str">
        <f>"温馨梦"</f>
        <v>温馨梦</v>
      </c>
      <c r="F709" s="7" t="s">
        <v>46</v>
      </c>
      <c r="G709" s="7"/>
    </row>
    <row r="710" ht="18" customHeight="1" spans="1:7">
      <c r="A710" s="7">
        <v>708</v>
      </c>
      <c r="B710" s="7" t="str">
        <f t="shared" si="51"/>
        <v>0301</v>
      </c>
      <c r="C710" s="7" t="s">
        <v>45</v>
      </c>
      <c r="D710" s="7" t="str">
        <f t="shared" si="52"/>
        <v>辅导员岗</v>
      </c>
      <c r="E710" s="7" t="str">
        <f>"岳越"</f>
        <v>岳越</v>
      </c>
      <c r="F710" s="7" t="s">
        <v>46</v>
      </c>
      <c r="G710" s="7"/>
    </row>
    <row r="711" ht="18" customHeight="1" spans="1:7">
      <c r="A711" s="7">
        <v>709</v>
      </c>
      <c r="B711" s="7" t="str">
        <f t="shared" si="51"/>
        <v>0301</v>
      </c>
      <c r="C711" s="7" t="s">
        <v>45</v>
      </c>
      <c r="D711" s="7" t="str">
        <f t="shared" si="52"/>
        <v>辅导员岗</v>
      </c>
      <c r="E711" s="7" t="str">
        <f>"黄艳彩"</f>
        <v>黄艳彩</v>
      </c>
      <c r="F711" s="7" t="s">
        <v>46</v>
      </c>
      <c r="G711" s="7"/>
    </row>
    <row r="712" ht="18" customHeight="1" spans="1:7">
      <c r="A712" s="7">
        <v>710</v>
      </c>
      <c r="B712" s="7" t="str">
        <f t="shared" si="51"/>
        <v>0301</v>
      </c>
      <c r="C712" s="7" t="s">
        <v>45</v>
      </c>
      <c r="D712" s="7" t="str">
        <f t="shared" si="52"/>
        <v>辅导员岗</v>
      </c>
      <c r="E712" s="7" t="str">
        <f>"李孟娜"</f>
        <v>李孟娜</v>
      </c>
      <c r="F712" s="7" t="s">
        <v>46</v>
      </c>
      <c r="G712" s="7"/>
    </row>
    <row r="713" ht="18" customHeight="1" spans="1:7">
      <c r="A713" s="7">
        <v>711</v>
      </c>
      <c r="B713" s="7" t="str">
        <f t="shared" si="51"/>
        <v>0301</v>
      </c>
      <c r="C713" s="7" t="s">
        <v>45</v>
      </c>
      <c r="D713" s="7" t="str">
        <f t="shared" si="52"/>
        <v>辅导员岗</v>
      </c>
      <c r="E713" s="7" t="str">
        <f>"王娇娇"</f>
        <v>王娇娇</v>
      </c>
      <c r="F713" s="7" t="s">
        <v>46</v>
      </c>
      <c r="G713" s="7"/>
    </row>
    <row r="714" ht="18" customHeight="1" spans="1:7">
      <c r="A714" s="7">
        <v>712</v>
      </c>
      <c r="B714" s="7" t="str">
        <f t="shared" si="51"/>
        <v>0301</v>
      </c>
      <c r="C714" s="7" t="s">
        <v>45</v>
      </c>
      <c r="D714" s="7" t="str">
        <f t="shared" si="52"/>
        <v>辅导员岗</v>
      </c>
      <c r="E714" s="7" t="str">
        <f>"云艳虹"</f>
        <v>云艳虹</v>
      </c>
      <c r="F714" s="7" t="s">
        <v>46</v>
      </c>
      <c r="G714" s="7"/>
    </row>
    <row r="715" ht="18" customHeight="1" spans="1:7">
      <c r="A715" s="7">
        <v>713</v>
      </c>
      <c r="B715" s="7" t="str">
        <f t="shared" si="51"/>
        <v>0301</v>
      </c>
      <c r="C715" s="7" t="s">
        <v>45</v>
      </c>
      <c r="D715" s="7" t="str">
        <f t="shared" si="52"/>
        <v>辅导员岗</v>
      </c>
      <c r="E715" s="7" t="str">
        <f>"李茜"</f>
        <v>李茜</v>
      </c>
      <c r="F715" s="7" t="s">
        <v>46</v>
      </c>
      <c r="G715" s="7"/>
    </row>
    <row r="716" ht="18" customHeight="1" spans="1:7">
      <c r="A716" s="7">
        <v>714</v>
      </c>
      <c r="B716" s="7" t="str">
        <f t="shared" si="51"/>
        <v>0301</v>
      </c>
      <c r="C716" s="7" t="s">
        <v>45</v>
      </c>
      <c r="D716" s="7" t="str">
        <f t="shared" si="52"/>
        <v>辅导员岗</v>
      </c>
      <c r="E716" s="7" t="str">
        <f>"赵丹阳"</f>
        <v>赵丹阳</v>
      </c>
      <c r="F716" s="7" t="s">
        <v>46</v>
      </c>
      <c r="G716" s="7"/>
    </row>
    <row r="717" ht="18" customHeight="1" spans="1:7">
      <c r="A717" s="7">
        <v>715</v>
      </c>
      <c r="B717" s="7" t="str">
        <f t="shared" si="51"/>
        <v>0301</v>
      </c>
      <c r="C717" s="7" t="s">
        <v>45</v>
      </c>
      <c r="D717" s="7" t="str">
        <f t="shared" si="52"/>
        <v>辅导员岗</v>
      </c>
      <c r="E717" s="7" t="str">
        <f>"王瑞"</f>
        <v>王瑞</v>
      </c>
      <c r="F717" s="7" t="s">
        <v>46</v>
      </c>
      <c r="G717" s="7"/>
    </row>
    <row r="718" ht="18" customHeight="1" spans="1:7">
      <c r="A718" s="7">
        <v>716</v>
      </c>
      <c r="B718" s="7" t="str">
        <f t="shared" si="51"/>
        <v>0301</v>
      </c>
      <c r="C718" s="7" t="s">
        <v>45</v>
      </c>
      <c r="D718" s="7" t="str">
        <f t="shared" si="52"/>
        <v>辅导员岗</v>
      </c>
      <c r="E718" s="7" t="str">
        <f>"罗兴碧"</f>
        <v>罗兴碧</v>
      </c>
      <c r="F718" s="7" t="s">
        <v>46</v>
      </c>
      <c r="G718" s="7"/>
    </row>
    <row r="719" ht="18" customHeight="1" spans="1:7">
      <c r="A719" s="7">
        <v>717</v>
      </c>
      <c r="B719" s="7" t="str">
        <f t="shared" si="51"/>
        <v>0301</v>
      </c>
      <c r="C719" s="7" t="s">
        <v>45</v>
      </c>
      <c r="D719" s="7" t="str">
        <f t="shared" si="52"/>
        <v>辅导员岗</v>
      </c>
      <c r="E719" s="7" t="str">
        <f>"武煜姣"</f>
        <v>武煜姣</v>
      </c>
      <c r="F719" s="7" t="s">
        <v>46</v>
      </c>
      <c r="G719" s="7"/>
    </row>
    <row r="720" ht="18" customHeight="1" spans="1:7">
      <c r="A720" s="7">
        <v>718</v>
      </c>
      <c r="B720" s="7" t="str">
        <f t="shared" si="51"/>
        <v>0301</v>
      </c>
      <c r="C720" s="7" t="s">
        <v>45</v>
      </c>
      <c r="D720" s="7" t="str">
        <f t="shared" si="52"/>
        <v>辅导员岗</v>
      </c>
      <c r="E720" s="7" t="str">
        <f>"周楠"</f>
        <v>周楠</v>
      </c>
      <c r="F720" s="7" t="s">
        <v>46</v>
      </c>
      <c r="G720" s="7"/>
    </row>
    <row r="721" ht="18" customHeight="1" spans="1:7">
      <c r="A721" s="7">
        <v>719</v>
      </c>
      <c r="B721" s="7" t="str">
        <f t="shared" si="51"/>
        <v>0301</v>
      </c>
      <c r="C721" s="7" t="s">
        <v>45</v>
      </c>
      <c r="D721" s="7" t="str">
        <f t="shared" si="52"/>
        <v>辅导员岗</v>
      </c>
      <c r="E721" s="7" t="str">
        <f>"党祎楠"</f>
        <v>党祎楠</v>
      </c>
      <c r="F721" s="7" t="s">
        <v>46</v>
      </c>
      <c r="G721" s="7"/>
    </row>
    <row r="722" ht="18" customHeight="1" spans="1:7">
      <c r="A722" s="7">
        <v>720</v>
      </c>
      <c r="B722" s="7" t="str">
        <f t="shared" si="51"/>
        <v>0301</v>
      </c>
      <c r="C722" s="7" t="s">
        <v>45</v>
      </c>
      <c r="D722" s="7" t="str">
        <f t="shared" si="52"/>
        <v>辅导员岗</v>
      </c>
      <c r="E722" s="7" t="str">
        <f>"李昕欣"</f>
        <v>李昕欣</v>
      </c>
      <c r="F722" s="7" t="s">
        <v>46</v>
      </c>
      <c r="G722" s="7"/>
    </row>
    <row r="723" ht="18" customHeight="1" spans="1:7">
      <c r="A723" s="7">
        <v>721</v>
      </c>
      <c r="B723" s="7" t="str">
        <f t="shared" si="51"/>
        <v>0301</v>
      </c>
      <c r="C723" s="7" t="s">
        <v>45</v>
      </c>
      <c r="D723" s="7" t="str">
        <f t="shared" si="52"/>
        <v>辅导员岗</v>
      </c>
      <c r="E723" s="7" t="str">
        <f>"曾阿娟"</f>
        <v>曾阿娟</v>
      </c>
      <c r="F723" s="7" t="s">
        <v>46</v>
      </c>
      <c r="G723" s="7"/>
    </row>
    <row r="724" ht="18" customHeight="1" spans="1:7">
      <c r="A724" s="7">
        <v>722</v>
      </c>
      <c r="B724" s="7" t="str">
        <f t="shared" si="51"/>
        <v>0301</v>
      </c>
      <c r="C724" s="7" t="s">
        <v>45</v>
      </c>
      <c r="D724" s="7" t="str">
        <f t="shared" si="52"/>
        <v>辅导员岗</v>
      </c>
      <c r="E724" s="7" t="str">
        <f>"王亚宁"</f>
        <v>王亚宁</v>
      </c>
      <c r="F724" s="7" t="s">
        <v>46</v>
      </c>
      <c r="G724" s="7"/>
    </row>
    <row r="725" ht="18" customHeight="1" spans="1:7">
      <c r="A725" s="7">
        <v>723</v>
      </c>
      <c r="B725" s="7" t="str">
        <f t="shared" si="51"/>
        <v>0301</v>
      </c>
      <c r="C725" s="7" t="s">
        <v>45</v>
      </c>
      <c r="D725" s="7" t="str">
        <f t="shared" si="52"/>
        <v>辅导员岗</v>
      </c>
      <c r="E725" s="7" t="str">
        <f>"张奇奇"</f>
        <v>张奇奇</v>
      </c>
      <c r="F725" s="7" t="s">
        <v>46</v>
      </c>
      <c r="G725" s="7"/>
    </row>
    <row r="726" ht="18" customHeight="1" spans="1:7">
      <c r="A726" s="7">
        <v>724</v>
      </c>
      <c r="B726" s="7" t="str">
        <f t="shared" si="51"/>
        <v>0301</v>
      </c>
      <c r="C726" s="7" t="s">
        <v>45</v>
      </c>
      <c r="D726" s="7" t="str">
        <f t="shared" si="52"/>
        <v>辅导员岗</v>
      </c>
      <c r="E726" s="7" t="str">
        <f>"赵晨"</f>
        <v>赵晨</v>
      </c>
      <c r="F726" s="7" t="s">
        <v>46</v>
      </c>
      <c r="G726" s="7"/>
    </row>
    <row r="727" ht="18" customHeight="1" spans="1:7">
      <c r="A727" s="7">
        <v>725</v>
      </c>
      <c r="B727" s="7" t="str">
        <f t="shared" si="51"/>
        <v>0301</v>
      </c>
      <c r="C727" s="7" t="s">
        <v>45</v>
      </c>
      <c r="D727" s="7" t="str">
        <f t="shared" si="52"/>
        <v>辅导员岗</v>
      </c>
      <c r="E727" s="7" t="str">
        <f>"周清蔚"</f>
        <v>周清蔚</v>
      </c>
      <c r="F727" s="7" t="s">
        <v>46</v>
      </c>
      <c r="G727" s="7"/>
    </row>
    <row r="728" ht="18" customHeight="1" spans="1:7">
      <c r="A728" s="7">
        <v>726</v>
      </c>
      <c r="B728" s="7" t="str">
        <f t="shared" si="51"/>
        <v>0301</v>
      </c>
      <c r="C728" s="7" t="s">
        <v>45</v>
      </c>
      <c r="D728" s="7" t="str">
        <f t="shared" si="52"/>
        <v>辅导员岗</v>
      </c>
      <c r="E728" s="7" t="str">
        <f>"刘小儒"</f>
        <v>刘小儒</v>
      </c>
      <c r="F728" s="7" t="s">
        <v>46</v>
      </c>
      <c r="G728" s="7"/>
    </row>
    <row r="729" ht="18" customHeight="1" spans="1:7">
      <c r="A729" s="7">
        <v>727</v>
      </c>
      <c r="B729" s="7" t="str">
        <f t="shared" si="51"/>
        <v>0301</v>
      </c>
      <c r="C729" s="7" t="s">
        <v>45</v>
      </c>
      <c r="D729" s="7" t="str">
        <f t="shared" si="52"/>
        <v>辅导员岗</v>
      </c>
      <c r="E729" s="7" t="str">
        <f>"张珺琛"</f>
        <v>张珺琛</v>
      </c>
      <c r="F729" s="7" t="s">
        <v>46</v>
      </c>
      <c r="G729" s="7"/>
    </row>
    <row r="730" ht="18" customHeight="1" spans="1:7">
      <c r="A730" s="7">
        <v>728</v>
      </c>
      <c r="B730" s="7" t="str">
        <f t="shared" si="51"/>
        <v>0301</v>
      </c>
      <c r="C730" s="7" t="s">
        <v>45</v>
      </c>
      <c r="D730" s="7" t="str">
        <f t="shared" si="52"/>
        <v>辅导员岗</v>
      </c>
      <c r="E730" s="7" t="str">
        <f>"庄赛伟"</f>
        <v>庄赛伟</v>
      </c>
      <c r="F730" s="7" t="s">
        <v>46</v>
      </c>
      <c r="G730" s="7"/>
    </row>
    <row r="731" ht="18" customHeight="1" spans="1:7">
      <c r="A731" s="7">
        <v>729</v>
      </c>
      <c r="B731" s="7" t="str">
        <f t="shared" si="51"/>
        <v>0301</v>
      </c>
      <c r="C731" s="7" t="s">
        <v>45</v>
      </c>
      <c r="D731" s="7" t="str">
        <f t="shared" si="52"/>
        <v>辅导员岗</v>
      </c>
      <c r="E731" s="7" t="str">
        <f>"苏悦"</f>
        <v>苏悦</v>
      </c>
      <c r="F731" s="7" t="s">
        <v>46</v>
      </c>
      <c r="G731" s="7"/>
    </row>
    <row r="732" ht="18" customHeight="1" spans="1:7">
      <c r="A732" s="7">
        <v>730</v>
      </c>
      <c r="B732" s="7" t="str">
        <f t="shared" si="51"/>
        <v>0301</v>
      </c>
      <c r="C732" s="7" t="s">
        <v>45</v>
      </c>
      <c r="D732" s="7" t="str">
        <f t="shared" si="52"/>
        <v>辅导员岗</v>
      </c>
      <c r="E732" s="7" t="str">
        <f>"张亚美"</f>
        <v>张亚美</v>
      </c>
      <c r="F732" s="7" t="s">
        <v>46</v>
      </c>
      <c r="G732" s="7"/>
    </row>
    <row r="733" ht="18" customHeight="1" spans="1:7">
      <c r="A733" s="7">
        <v>731</v>
      </c>
      <c r="B733" s="7" t="str">
        <f t="shared" si="51"/>
        <v>0301</v>
      </c>
      <c r="C733" s="7" t="s">
        <v>45</v>
      </c>
      <c r="D733" s="7" t="str">
        <f t="shared" si="52"/>
        <v>辅导员岗</v>
      </c>
      <c r="E733" s="7" t="str">
        <f>"焦昱丹"</f>
        <v>焦昱丹</v>
      </c>
      <c r="F733" s="7" t="s">
        <v>46</v>
      </c>
      <c r="G733" s="7"/>
    </row>
    <row r="734" ht="18" customHeight="1" spans="1:7">
      <c r="A734" s="7">
        <v>732</v>
      </c>
      <c r="B734" s="7" t="str">
        <f t="shared" si="51"/>
        <v>0301</v>
      </c>
      <c r="C734" s="7" t="s">
        <v>45</v>
      </c>
      <c r="D734" s="7" t="str">
        <f t="shared" si="52"/>
        <v>辅导员岗</v>
      </c>
      <c r="E734" s="7" t="str">
        <f>"武文佳"</f>
        <v>武文佳</v>
      </c>
      <c r="F734" s="7" t="s">
        <v>46</v>
      </c>
      <c r="G734" s="7"/>
    </row>
    <row r="735" ht="18" customHeight="1" spans="1:7">
      <c r="A735" s="7">
        <v>733</v>
      </c>
      <c r="B735" s="7" t="str">
        <f t="shared" si="51"/>
        <v>0301</v>
      </c>
      <c r="C735" s="7" t="s">
        <v>45</v>
      </c>
      <c r="D735" s="7" t="str">
        <f t="shared" si="52"/>
        <v>辅导员岗</v>
      </c>
      <c r="E735" s="7" t="str">
        <f>"彭仕炎"</f>
        <v>彭仕炎</v>
      </c>
      <c r="F735" s="7" t="s">
        <v>46</v>
      </c>
      <c r="G735" s="7"/>
    </row>
    <row r="736" ht="18" customHeight="1" spans="1:7">
      <c r="A736" s="7">
        <v>734</v>
      </c>
      <c r="B736" s="7" t="str">
        <f t="shared" si="51"/>
        <v>0301</v>
      </c>
      <c r="C736" s="7" t="s">
        <v>45</v>
      </c>
      <c r="D736" s="7" t="str">
        <f t="shared" si="52"/>
        <v>辅导员岗</v>
      </c>
      <c r="E736" s="7" t="str">
        <f>"林靖云"</f>
        <v>林靖云</v>
      </c>
      <c r="F736" s="7" t="s">
        <v>46</v>
      </c>
      <c r="G736" s="7"/>
    </row>
    <row r="737" ht="18" customHeight="1" spans="1:7">
      <c r="A737" s="7">
        <v>735</v>
      </c>
      <c r="B737" s="7" t="str">
        <f t="shared" si="51"/>
        <v>0301</v>
      </c>
      <c r="C737" s="7" t="s">
        <v>45</v>
      </c>
      <c r="D737" s="7" t="str">
        <f t="shared" si="52"/>
        <v>辅导员岗</v>
      </c>
      <c r="E737" s="7" t="str">
        <f>"程洪恩"</f>
        <v>程洪恩</v>
      </c>
      <c r="F737" s="7" t="s">
        <v>46</v>
      </c>
      <c r="G737" s="7"/>
    </row>
    <row r="738" ht="18" customHeight="1" spans="1:7">
      <c r="A738" s="7">
        <v>736</v>
      </c>
      <c r="B738" s="7" t="str">
        <f t="shared" ref="B738:B773" si="53">"0302"</f>
        <v>0302</v>
      </c>
      <c r="C738" s="7" t="s">
        <v>48</v>
      </c>
      <c r="D738" s="7" t="str">
        <f t="shared" si="52"/>
        <v>辅导员岗</v>
      </c>
      <c r="E738" s="7" t="str">
        <f>"李泽德"</f>
        <v>李泽德</v>
      </c>
      <c r="F738" s="7" t="s">
        <v>46</v>
      </c>
      <c r="G738" s="7"/>
    </row>
    <row r="739" ht="18" customHeight="1" spans="1:7">
      <c r="A739" s="7">
        <v>737</v>
      </c>
      <c r="B739" s="7" t="str">
        <f t="shared" si="53"/>
        <v>0302</v>
      </c>
      <c r="C739" s="7" t="s">
        <v>48</v>
      </c>
      <c r="D739" s="7" t="str">
        <f t="shared" si="52"/>
        <v>辅导员岗</v>
      </c>
      <c r="E739" s="7" t="str">
        <f>"朱亚涛"</f>
        <v>朱亚涛</v>
      </c>
      <c r="F739" s="7" t="s">
        <v>46</v>
      </c>
      <c r="G739" s="7"/>
    </row>
    <row r="740" ht="18" customHeight="1" spans="1:7">
      <c r="A740" s="7">
        <v>738</v>
      </c>
      <c r="B740" s="7" t="str">
        <f t="shared" si="53"/>
        <v>0302</v>
      </c>
      <c r="C740" s="7" t="s">
        <v>48</v>
      </c>
      <c r="D740" s="7" t="str">
        <f t="shared" si="52"/>
        <v>辅导员岗</v>
      </c>
      <c r="E740" s="7" t="str">
        <f>"宫兆洋"</f>
        <v>宫兆洋</v>
      </c>
      <c r="F740" s="7" t="s">
        <v>46</v>
      </c>
      <c r="G740" s="7"/>
    </row>
    <row r="741" ht="18" customHeight="1" spans="1:7">
      <c r="A741" s="7">
        <v>739</v>
      </c>
      <c r="B741" s="7" t="str">
        <f t="shared" si="53"/>
        <v>0302</v>
      </c>
      <c r="C741" s="7" t="s">
        <v>48</v>
      </c>
      <c r="D741" s="7" t="str">
        <f t="shared" si="52"/>
        <v>辅导员岗</v>
      </c>
      <c r="E741" s="7" t="str">
        <f>"谢勇"</f>
        <v>谢勇</v>
      </c>
      <c r="F741" s="7" t="s">
        <v>46</v>
      </c>
      <c r="G741" s="7"/>
    </row>
    <row r="742" ht="18" customHeight="1" spans="1:7">
      <c r="A742" s="7">
        <v>740</v>
      </c>
      <c r="B742" s="7" t="str">
        <f t="shared" si="53"/>
        <v>0302</v>
      </c>
      <c r="C742" s="7" t="s">
        <v>48</v>
      </c>
      <c r="D742" s="7" t="str">
        <f t="shared" si="52"/>
        <v>辅导员岗</v>
      </c>
      <c r="E742" s="7" t="str">
        <f>"蒋昌宏"</f>
        <v>蒋昌宏</v>
      </c>
      <c r="F742" s="7" t="s">
        <v>46</v>
      </c>
      <c r="G742" s="7"/>
    </row>
    <row r="743" ht="18" customHeight="1" spans="1:7">
      <c r="A743" s="7">
        <v>741</v>
      </c>
      <c r="B743" s="7" t="str">
        <f t="shared" si="53"/>
        <v>0302</v>
      </c>
      <c r="C743" s="7" t="s">
        <v>48</v>
      </c>
      <c r="D743" s="7" t="str">
        <f t="shared" si="52"/>
        <v>辅导员岗</v>
      </c>
      <c r="E743" s="7" t="str">
        <f>"乔宇函"</f>
        <v>乔宇函</v>
      </c>
      <c r="F743" s="7" t="s">
        <v>46</v>
      </c>
      <c r="G743" s="7"/>
    </row>
    <row r="744" ht="18" customHeight="1" spans="1:7">
      <c r="A744" s="7">
        <v>742</v>
      </c>
      <c r="B744" s="7" t="str">
        <f t="shared" si="53"/>
        <v>0302</v>
      </c>
      <c r="C744" s="7" t="s">
        <v>48</v>
      </c>
      <c r="D744" s="7" t="str">
        <f t="shared" si="52"/>
        <v>辅导员岗</v>
      </c>
      <c r="E744" s="7" t="str">
        <f>"王满意"</f>
        <v>王满意</v>
      </c>
      <c r="F744" s="7" t="s">
        <v>46</v>
      </c>
      <c r="G744" s="7"/>
    </row>
    <row r="745" ht="18" customHeight="1" spans="1:7">
      <c r="A745" s="7">
        <v>743</v>
      </c>
      <c r="B745" s="7" t="str">
        <f t="shared" si="53"/>
        <v>0302</v>
      </c>
      <c r="C745" s="7" t="s">
        <v>48</v>
      </c>
      <c r="D745" s="7" t="str">
        <f t="shared" si="52"/>
        <v>辅导员岗</v>
      </c>
      <c r="E745" s="7" t="str">
        <f>"梁邺"</f>
        <v>梁邺</v>
      </c>
      <c r="F745" s="7" t="s">
        <v>46</v>
      </c>
      <c r="G745" s="7"/>
    </row>
    <row r="746" ht="18" customHeight="1" spans="1:7">
      <c r="A746" s="7">
        <v>744</v>
      </c>
      <c r="B746" s="7" t="str">
        <f t="shared" si="53"/>
        <v>0302</v>
      </c>
      <c r="C746" s="7" t="s">
        <v>48</v>
      </c>
      <c r="D746" s="7" t="str">
        <f t="shared" si="52"/>
        <v>辅导员岗</v>
      </c>
      <c r="E746" s="7" t="str">
        <f>"陆思成"</f>
        <v>陆思成</v>
      </c>
      <c r="F746" s="7" t="s">
        <v>46</v>
      </c>
      <c r="G746" s="7"/>
    </row>
    <row r="747" ht="18" customHeight="1" spans="1:7">
      <c r="A747" s="7">
        <v>745</v>
      </c>
      <c r="B747" s="7" t="str">
        <f t="shared" si="53"/>
        <v>0302</v>
      </c>
      <c r="C747" s="7" t="s">
        <v>48</v>
      </c>
      <c r="D747" s="7" t="str">
        <f t="shared" si="52"/>
        <v>辅导员岗</v>
      </c>
      <c r="E747" s="7" t="str">
        <f>"原伟杰"</f>
        <v>原伟杰</v>
      </c>
      <c r="F747" s="7" t="s">
        <v>46</v>
      </c>
      <c r="G747" s="7"/>
    </row>
    <row r="748" ht="18" customHeight="1" spans="1:7">
      <c r="A748" s="7">
        <v>746</v>
      </c>
      <c r="B748" s="7" t="str">
        <f t="shared" si="53"/>
        <v>0302</v>
      </c>
      <c r="C748" s="7" t="s">
        <v>48</v>
      </c>
      <c r="D748" s="7" t="str">
        <f t="shared" si="52"/>
        <v>辅导员岗</v>
      </c>
      <c r="E748" s="7" t="str">
        <f>"李龙"</f>
        <v>李龙</v>
      </c>
      <c r="F748" s="7" t="s">
        <v>46</v>
      </c>
      <c r="G748" s="7"/>
    </row>
    <row r="749" ht="18" customHeight="1" spans="1:7">
      <c r="A749" s="7">
        <v>747</v>
      </c>
      <c r="B749" s="7" t="str">
        <f t="shared" si="53"/>
        <v>0302</v>
      </c>
      <c r="C749" s="7" t="s">
        <v>48</v>
      </c>
      <c r="D749" s="7" t="str">
        <f t="shared" si="52"/>
        <v>辅导员岗</v>
      </c>
      <c r="E749" s="7" t="str">
        <f>"王劲"</f>
        <v>王劲</v>
      </c>
      <c r="F749" s="7" t="s">
        <v>46</v>
      </c>
      <c r="G749" s="7"/>
    </row>
    <row r="750" ht="18" customHeight="1" spans="1:7">
      <c r="A750" s="7">
        <v>748</v>
      </c>
      <c r="B750" s="7" t="str">
        <f t="shared" si="53"/>
        <v>0302</v>
      </c>
      <c r="C750" s="7" t="s">
        <v>48</v>
      </c>
      <c r="D750" s="7" t="str">
        <f t="shared" si="52"/>
        <v>辅导员岗</v>
      </c>
      <c r="E750" s="7" t="str">
        <f>"廖绍栩"</f>
        <v>廖绍栩</v>
      </c>
      <c r="F750" s="7" t="s">
        <v>46</v>
      </c>
      <c r="G750" s="7"/>
    </row>
    <row r="751" ht="18" customHeight="1" spans="1:7">
      <c r="A751" s="7">
        <v>749</v>
      </c>
      <c r="B751" s="7" t="str">
        <f t="shared" si="53"/>
        <v>0302</v>
      </c>
      <c r="C751" s="7" t="s">
        <v>48</v>
      </c>
      <c r="D751" s="7" t="str">
        <f t="shared" si="52"/>
        <v>辅导员岗</v>
      </c>
      <c r="E751" s="7" t="str">
        <f>"吴岳捷"</f>
        <v>吴岳捷</v>
      </c>
      <c r="F751" s="7" t="s">
        <v>46</v>
      </c>
      <c r="G751" s="7"/>
    </row>
    <row r="752" ht="18" customHeight="1" spans="1:7">
      <c r="A752" s="7">
        <v>750</v>
      </c>
      <c r="B752" s="7" t="str">
        <f t="shared" si="53"/>
        <v>0302</v>
      </c>
      <c r="C752" s="7" t="s">
        <v>48</v>
      </c>
      <c r="D752" s="7" t="str">
        <f t="shared" si="52"/>
        <v>辅导员岗</v>
      </c>
      <c r="E752" s="7" t="str">
        <f>"陈柏燊"</f>
        <v>陈柏燊</v>
      </c>
      <c r="F752" s="7" t="s">
        <v>46</v>
      </c>
      <c r="G752" s="7"/>
    </row>
    <row r="753" ht="18" customHeight="1" spans="1:7">
      <c r="A753" s="7">
        <v>751</v>
      </c>
      <c r="B753" s="7" t="str">
        <f t="shared" si="53"/>
        <v>0302</v>
      </c>
      <c r="C753" s="7" t="s">
        <v>48</v>
      </c>
      <c r="D753" s="7" t="str">
        <f t="shared" si="52"/>
        <v>辅导员岗</v>
      </c>
      <c r="E753" s="7" t="str">
        <f>"周建聪"</f>
        <v>周建聪</v>
      </c>
      <c r="F753" s="7" t="s">
        <v>46</v>
      </c>
      <c r="G753" s="7"/>
    </row>
    <row r="754" ht="18" customHeight="1" spans="1:7">
      <c r="A754" s="7">
        <v>752</v>
      </c>
      <c r="B754" s="7" t="str">
        <f t="shared" si="53"/>
        <v>0302</v>
      </c>
      <c r="C754" s="7" t="s">
        <v>48</v>
      </c>
      <c r="D754" s="7" t="str">
        <f t="shared" si="52"/>
        <v>辅导员岗</v>
      </c>
      <c r="E754" s="7" t="str">
        <f>"檀振"</f>
        <v>檀振</v>
      </c>
      <c r="F754" s="7" t="s">
        <v>46</v>
      </c>
      <c r="G754" s="7"/>
    </row>
    <row r="755" ht="18" customHeight="1" spans="1:7">
      <c r="A755" s="7">
        <v>753</v>
      </c>
      <c r="B755" s="7" t="str">
        <f t="shared" si="53"/>
        <v>0302</v>
      </c>
      <c r="C755" s="7" t="s">
        <v>48</v>
      </c>
      <c r="D755" s="7" t="str">
        <f t="shared" ref="D755:D768" si="54">"辅导员岗"</f>
        <v>辅导员岗</v>
      </c>
      <c r="E755" s="7" t="str">
        <f>"高博文"</f>
        <v>高博文</v>
      </c>
      <c r="F755" s="7" t="s">
        <v>46</v>
      </c>
      <c r="G755" s="7"/>
    </row>
    <row r="756" ht="18" customHeight="1" spans="1:7">
      <c r="A756" s="7">
        <v>754</v>
      </c>
      <c r="B756" s="7" t="str">
        <f t="shared" si="53"/>
        <v>0302</v>
      </c>
      <c r="C756" s="7" t="s">
        <v>48</v>
      </c>
      <c r="D756" s="7" t="str">
        <f t="shared" si="54"/>
        <v>辅导员岗</v>
      </c>
      <c r="E756" s="7" t="str">
        <f>"马青源"</f>
        <v>马青源</v>
      </c>
      <c r="F756" s="7" t="s">
        <v>46</v>
      </c>
      <c r="G756" s="7"/>
    </row>
    <row r="757" ht="18" customHeight="1" spans="1:7">
      <c r="A757" s="7">
        <v>755</v>
      </c>
      <c r="B757" s="7" t="str">
        <f t="shared" si="53"/>
        <v>0302</v>
      </c>
      <c r="C757" s="7" t="s">
        <v>48</v>
      </c>
      <c r="D757" s="7" t="str">
        <f t="shared" si="54"/>
        <v>辅导员岗</v>
      </c>
      <c r="E757" s="7" t="str">
        <f>"赵通通"</f>
        <v>赵通通</v>
      </c>
      <c r="F757" s="7" t="s">
        <v>46</v>
      </c>
      <c r="G757" s="7"/>
    </row>
    <row r="758" ht="18" customHeight="1" spans="1:7">
      <c r="A758" s="7">
        <v>756</v>
      </c>
      <c r="B758" s="7" t="str">
        <f t="shared" si="53"/>
        <v>0302</v>
      </c>
      <c r="C758" s="7" t="s">
        <v>48</v>
      </c>
      <c r="D758" s="7" t="str">
        <f t="shared" si="54"/>
        <v>辅导员岗</v>
      </c>
      <c r="E758" s="7" t="str">
        <f>"何泽华"</f>
        <v>何泽华</v>
      </c>
      <c r="F758" s="7" t="s">
        <v>46</v>
      </c>
      <c r="G758" s="7"/>
    </row>
    <row r="759" ht="18" customHeight="1" spans="1:7">
      <c r="A759" s="7">
        <v>757</v>
      </c>
      <c r="B759" s="7" t="str">
        <f t="shared" si="53"/>
        <v>0302</v>
      </c>
      <c r="C759" s="7" t="s">
        <v>48</v>
      </c>
      <c r="D759" s="7" t="str">
        <f t="shared" si="54"/>
        <v>辅导员岗</v>
      </c>
      <c r="E759" s="7" t="str">
        <f>"苏睿"</f>
        <v>苏睿</v>
      </c>
      <c r="F759" s="7" t="s">
        <v>46</v>
      </c>
      <c r="G759" s="7"/>
    </row>
    <row r="760" ht="18" customHeight="1" spans="1:7">
      <c r="A760" s="7">
        <v>758</v>
      </c>
      <c r="B760" s="7" t="str">
        <f t="shared" si="53"/>
        <v>0302</v>
      </c>
      <c r="C760" s="7" t="s">
        <v>48</v>
      </c>
      <c r="D760" s="7" t="str">
        <f t="shared" si="54"/>
        <v>辅导员岗</v>
      </c>
      <c r="E760" s="7" t="str">
        <f>"李黔勇"</f>
        <v>李黔勇</v>
      </c>
      <c r="F760" s="7" t="s">
        <v>46</v>
      </c>
      <c r="G760" s="7"/>
    </row>
    <row r="761" ht="18" customHeight="1" spans="1:7">
      <c r="A761" s="7">
        <v>759</v>
      </c>
      <c r="B761" s="7" t="str">
        <f t="shared" si="53"/>
        <v>0302</v>
      </c>
      <c r="C761" s="7" t="s">
        <v>48</v>
      </c>
      <c r="D761" s="7" t="str">
        <f t="shared" si="54"/>
        <v>辅导员岗</v>
      </c>
      <c r="E761" s="7" t="str">
        <f>"阮武"</f>
        <v>阮武</v>
      </c>
      <c r="F761" s="7" t="s">
        <v>46</v>
      </c>
      <c r="G761" s="7"/>
    </row>
    <row r="762" ht="18" customHeight="1" spans="1:7">
      <c r="A762" s="7">
        <v>760</v>
      </c>
      <c r="B762" s="7" t="str">
        <f t="shared" si="53"/>
        <v>0302</v>
      </c>
      <c r="C762" s="7" t="s">
        <v>48</v>
      </c>
      <c r="D762" s="7" t="str">
        <f t="shared" si="54"/>
        <v>辅导员岗</v>
      </c>
      <c r="E762" s="7" t="str">
        <f>"严业利"</f>
        <v>严业利</v>
      </c>
      <c r="F762" s="7" t="s">
        <v>46</v>
      </c>
      <c r="G762" s="7"/>
    </row>
    <row r="763" ht="18" customHeight="1" spans="1:7">
      <c r="A763" s="7">
        <v>761</v>
      </c>
      <c r="B763" s="7" t="str">
        <f t="shared" si="53"/>
        <v>0302</v>
      </c>
      <c r="C763" s="7" t="s">
        <v>48</v>
      </c>
      <c r="D763" s="7" t="str">
        <f t="shared" si="54"/>
        <v>辅导员岗</v>
      </c>
      <c r="E763" s="7" t="str">
        <f>"吴启高"</f>
        <v>吴启高</v>
      </c>
      <c r="F763" s="7" t="s">
        <v>46</v>
      </c>
      <c r="G763" s="7"/>
    </row>
    <row r="764" ht="18" customHeight="1" spans="1:7">
      <c r="A764" s="7">
        <v>762</v>
      </c>
      <c r="B764" s="7" t="str">
        <f t="shared" si="53"/>
        <v>0302</v>
      </c>
      <c r="C764" s="7" t="s">
        <v>48</v>
      </c>
      <c r="D764" s="7" t="str">
        <f t="shared" si="54"/>
        <v>辅导员岗</v>
      </c>
      <c r="E764" s="7" t="str">
        <f>"程立源"</f>
        <v>程立源</v>
      </c>
      <c r="F764" s="7" t="s">
        <v>46</v>
      </c>
      <c r="G764" s="7"/>
    </row>
    <row r="765" ht="18" customHeight="1" spans="1:7">
      <c r="A765" s="7">
        <v>763</v>
      </c>
      <c r="B765" s="7" t="str">
        <f t="shared" si="53"/>
        <v>0302</v>
      </c>
      <c r="C765" s="7" t="s">
        <v>48</v>
      </c>
      <c r="D765" s="7" t="str">
        <f t="shared" si="54"/>
        <v>辅导员岗</v>
      </c>
      <c r="E765" s="7" t="str">
        <f>"仝家兴"</f>
        <v>仝家兴</v>
      </c>
      <c r="F765" s="7" t="s">
        <v>46</v>
      </c>
      <c r="G765" s="7"/>
    </row>
    <row r="766" ht="18" customHeight="1" spans="1:7">
      <c r="A766" s="7">
        <v>764</v>
      </c>
      <c r="B766" s="7" t="str">
        <f t="shared" si="53"/>
        <v>0302</v>
      </c>
      <c r="C766" s="7" t="s">
        <v>48</v>
      </c>
      <c r="D766" s="7" t="str">
        <f t="shared" si="54"/>
        <v>辅导员岗</v>
      </c>
      <c r="E766" s="7" t="str">
        <f>"钟泷彬"</f>
        <v>钟泷彬</v>
      </c>
      <c r="F766" s="7" t="s">
        <v>46</v>
      </c>
      <c r="G766" s="7"/>
    </row>
    <row r="767" ht="18" customHeight="1" spans="1:7">
      <c r="A767" s="7">
        <v>765</v>
      </c>
      <c r="B767" s="7" t="str">
        <f t="shared" si="53"/>
        <v>0302</v>
      </c>
      <c r="C767" s="7" t="s">
        <v>48</v>
      </c>
      <c r="D767" s="7" t="str">
        <f t="shared" si="54"/>
        <v>辅导员岗</v>
      </c>
      <c r="E767" s="7" t="str">
        <f>"许盛涵"</f>
        <v>许盛涵</v>
      </c>
      <c r="F767" s="7" t="s">
        <v>46</v>
      </c>
      <c r="G767" s="7"/>
    </row>
    <row r="768" ht="18" customHeight="1" spans="1:7">
      <c r="A768" s="7">
        <v>766</v>
      </c>
      <c r="B768" s="7" t="str">
        <f t="shared" si="53"/>
        <v>0302</v>
      </c>
      <c r="C768" s="7" t="s">
        <v>48</v>
      </c>
      <c r="D768" s="7" t="str">
        <f t="shared" si="54"/>
        <v>辅导员岗</v>
      </c>
      <c r="E768" s="7" t="str">
        <f>"李哲"</f>
        <v>李哲</v>
      </c>
      <c r="F768" s="7" t="s">
        <v>46</v>
      </c>
      <c r="G768" s="7"/>
    </row>
    <row r="769" ht="18" customHeight="1" spans="1:7">
      <c r="A769" s="7">
        <v>767</v>
      </c>
      <c r="B769" s="7" t="str">
        <f t="shared" si="53"/>
        <v>0302</v>
      </c>
      <c r="C769" s="7" t="s">
        <v>48</v>
      </c>
      <c r="D769" s="7" t="s">
        <v>47</v>
      </c>
      <c r="E769" s="7" t="str">
        <f>"王兆勇"</f>
        <v>王兆勇</v>
      </c>
      <c r="F769" s="7" t="s">
        <v>46</v>
      </c>
      <c r="G769" s="7"/>
    </row>
    <row r="770" ht="18" customHeight="1" spans="1:7">
      <c r="A770" s="7">
        <v>768</v>
      </c>
      <c r="B770" s="7" t="str">
        <f t="shared" si="53"/>
        <v>0302</v>
      </c>
      <c r="C770" s="7" t="s">
        <v>48</v>
      </c>
      <c r="D770" s="7" t="str">
        <f t="shared" ref="D770:D775" si="55">"辅导员岗"</f>
        <v>辅导员岗</v>
      </c>
      <c r="E770" s="7" t="str">
        <f>"符修昊"</f>
        <v>符修昊</v>
      </c>
      <c r="F770" s="7" t="s">
        <v>46</v>
      </c>
      <c r="G770" s="7"/>
    </row>
    <row r="771" ht="18" customHeight="1" spans="1:7">
      <c r="A771" s="7">
        <v>769</v>
      </c>
      <c r="B771" s="7" t="str">
        <f t="shared" si="53"/>
        <v>0302</v>
      </c>
      <c r="C771" s="7" t="s">
        <v>48</v>
      </c>
      <c r="D771" s="7" t="str">
        <f t="shared" si="55"/>
        <v>辅导员岗</v>
      </c>
      <c r="E771" s="7" t="str">
        <f>"胡建明"</f>
        <v>胡建明</v>
      </c>
      <c r="F771" s="7" t="s">
        <v>46</v>
      </c>
      <c r="G771" s="7"/>
    </row>
    <row r="772" ht="18" customHeight="1" spans="1:7">
      <c r="A772" s="7">
        <v>770</v>
      </c>
      <c r="B772" s="7" t="str">
        <f t="shared" si="53"/>
        <v>0302</v>
      </c>
      <c r="C772" s="7" t="s">
        <v>48</v>
      </c>
      <c r="D772" s="7" t="str">
        <f t="shared" si="55"/>
        <v>辅导员岗</v>
      </c>
      <c r="E772" s="7" t="str">
        <f>"王轶哲"</f>
        <v>王轶哲</v>
      </c>
      <c r="F772" s="7" t="s">
        <v>46</v>
      </c>
      <c r="G772" s="7"/>
    </row>
    <row r="773" ht="18" customHeight="1" spans="1:7">
      <c r="A773" s="7">
        <v>771</v>
      </c>
      <c r="B773" s="7" t="str">
        <f t="shared" si="53"/>
        <v>0302</v>
      </c>
      <c r="C773" s="7" t="s">
        <v>48</v>
      </c>
      <c r="D773" s="7" t="str">
        <f t="shared" si="55"/>
        <v>辅导员岗</v>
      </c>
      <c r="E773" s="7" t="str">
        <f>"任正恺"</f>
        <v>任正恺</v>
      </c>
      <c r="F773" s="7" t="s">
        <v>46</v>
      </c>
      <c r="G773" s="7"/>
    </row>
    <row r="774" ht="18" customHeight="1" spans="1:7">
      <c r="A774" s="7">
        <v>772</v>
      </c>
      <c r="B774" s="7" t="str">
        <f t="shared" ref="B774:B783" si="56">"0303"</f>
        <v>0303</v>
      </c>
      <c r="C774" s="7" t="s">
        <v>49</v>
      </c>
      <c r="D774" s="7" t="str">
        <f t="shared" si="55"/>
        <v>辅导员岗</v>
      </c>
      <c r="E774" s="7" t="str">
        <f>"蔡铭"</f>
        <v>蔡铭</v>
      </c>
      <c r="F774" s="7" t="s">
        <v>46</v>
      </c>
      <c r="G774" s="7"/>
    </row>
    <row r="775" ht="18" customHeight="1" spans="1:7">
      <c r="A775" s="7">
        <v>773</v>
      </c>
      <c r="B775" s="7" t="str">
        <f t="shared" si="56"/>
        <v>0303</v>
      </c>
      <c r="C775" s="7" t="s">
        <v>49</v>
      </c>
      <c r="D775" s="7" t="str">
        <f t="shared" si="55"/>
        <v>辅导员岗</v>
      </c>
      <c r="E775" s="7" t="str">
        <f>"马晓强"</f>
        <v>马晓强</v>
      </c>
      <c r="F775" s="7" t="s">
        <v>46</v>
      </c>
      <c r="G775" s="7"/>
    </row>
    <row r="776" ht="18" customHeight="1" spans="1:7">
      <c r="A776" s="7">
        <v>774</v>
      </c>
      <c r="B776" s="7" t="str">
        <f t="shared" si="56"/>
        <v>0303</v>
      </c>
      <c r="C776" s="7" t="s">
        <v>49</v>
      </c>
      <c r="D776" s="7" t="s">
        <v>47</v>
      </c>
      <c r="E776" s="7" t="str">
        <f>"蔡敬坤"</f>
        <v>蔡敬坤</v>
      </c>
      <c r="F776" s="7" t="s">
        <v>46</v>
      </c>
      <c r="G776" s="7"/>
    </row>
    <row r="777" ht="18" customHeight="1" spans="1:7">
      <c r="A777" s="7">
        <v>775</v>
      </c>
      <c r="B777" s="7" t="str">
        <f t="shared" si="56"/>
        <v>0303</v>
      </c>
      <c r="C777" s="7" t="s">
        <v>49</v>
      </c>
      <c r="D777" s="7" t="str">
        <f t="shared" ref="D777:D791" si="57">"辅导员岗"</f>
        <v>辅导员岗</v>
      </c>
      <c r="E777" s="7" t="str">
        <f>"赵帅歌"</f>
        <v>赵帅歌</v>
      </c>
      <c r="F777" s="7" t="s">
        <v>46</v>
      </c>
      <c r="G777" s="7"/>
    </row>
    <row r="778" ht="18" customHeight="1" spans="1:7">
      <c r="A778" s="7">
        <v>776</v>
      </c>
      <c r="B778" s="7" t="str">
        <f t="shared" si="56"/>
        <v>0303</v>
      </c>
      <c r="C778" s="7" t="s">
        <v>49</v>
      </c>
      <c r="D778" s="7" t="str">
        <f t="shared" si="57"/>
        <v>辅导员岗</v>
      </c>
      <c r="E778" s="7" t="str">
        <f>"罗志豪"</f>
        <v>罗志豪</v>
      </c>
      <c r="F778" s="7" t="s">
        <v>46</v>
      </c>
      <c r="G778" s="7"/>
    </row>
    <row r="779" ht="18" customHeight="1" spans="1:7">
      <c r="A779" s="7">
        <v>777</v>
      </c>
      <c r="B779" s="7" t="str">
        <f t="shared" si="56"/>
        <v>0303</v>
      </c>
      <c r="C779" s="7" t="s">
        <v>49</v>
      </c>
      <c r="D779" s="7" t="str">
        <f t="shared" si="57"/>
        <v>辅导员岗</v>
      </c>
      <c r="E779" s="7" t="str">
        <f>"吴文杰"</f>
        <v>吴文杰</v>
      </c>
      <c r="F779" s="7" t="s">
        <v>46</v>
      </c>
      <c r="G779" s="7"/>
    </row>
    <row r="780" ht="18" customHeight="1" spans="1:7">
      <c r="A780" s="7">
        <v>778</v>
      </c>
      <c r="B780" s="7" t="str">
        <f t="shared" si="56"/>
        <v>0303</v>
      </c>
      <c r="C780" s="7" t="s">
        <v>49</v>
      </c>
      <c r="D780" s="7" t="str">
        <f t="shared" si="57"/>
        <v>辅导员岗</v>
      </c>
      <c r="E780" s="7" t="str">
        <f>"李维"</f>
        <v>李维</v>
      </c>
      <c r="F780" s="7" t="s">
        <v>46</v>
      </c>
      <c r="G780" s="7"/>
    </row>
    <row r="781" ht="18" customHeight="1" spans="1:7">
      <c r="A781" s="7">
        <v>779</v>
      </c>
      <c r="B781" s="7" t="str">
        <f t="shared" si="56"/>
        <v>0303</v>
      </c>
      <c r="C781" s="7" t="s">
        <v>49</v>
      </c>
      <c r="D781" s="7" t="str">
        <f t="shared" si="57"/>
        <v>辅导员岗</v>
      </c>
      <c r="E781" s="7" t="str">
        <f>"刘承轩"</f>
        <v>刘承轩</v>
      </c>
      <c r="F781" s="7" t="s">
        <v>46</v>
      </c>
      <c r="G781" s="7"/>
    </row>
    <row r="782" ht="18" customHeight="1" spans="1:7">
      <c r="A782" s="7">
        <v>780</v>
      </c>
      <c r="B782" s="7" t="str">
        <f t="shared" si="56"/>
        <v>0303</v>
      </c>
      <c r="C782" s="7" t="s">
        <v>49</v>
      </c>
      <c r="D782" s="7" t="str">
        <f t="shared" si="57"/>
        <v>辅导员岗</v>
      </c>
      <c r="E782" s="7" t="str">
        <f>"叶家杭"</f>
        <v>叶家杭</v>
      </c>
      <c r="F782" s="7" t="s">
        <v>46</v>
      </c>
      <c r="G782" s="7"/>
    </row>
    <row r="783" ht="18" customHeight="1" spans="1:7">
      <c r="A783" s="7">
        <v>781</v>
      </c>
      <c r="B783" s="7" t="str">
        <f t="shared" si="56"/>
        <v>0303</v>
      </c>
      <c r="C783" s="7" t="s">
        <v>49</v>
      </c>
      <c r="D783" s="7" t="str">
        <f t="shared" si="57"/>
        <v>辅导员岗</v>
      </c>
      <c r="E783" s="7" t="str">
        <f>"牛雪瑞"</f>
        <v>牛雪瑞</v>
      </c>
      <c r="F783" s="7" t="s">
        <v>46</v>
      </c>
      <c r="G783" s="7"/>
    </row>
    <row r="784" ht="18" customHeight="1" spans="1:7">
      <c r="A784" s="7">
        <v>782</v>
      </c>
      <c r="B784" s="7" t="str">
        <f t="shared" ref="B784:B791" si="58">"0304"</f>
        <v>0304</v>
      </c>
      <c r="C784" s="7" t="s">
        <v>50</v>
      </c>
      <c r="D784" s="7" t="str">
        <f t="shared" si="57"/>
        <v>辅导员岗</v>
      </c>
      <c r="E784" s="7" t="str">
        <f>"王开戌"</f>
        <v>王开戌</v>
      </c>
      <c r="F784" s="7" t="s">
        <v>46</v>
      </c>
      <c r="G784" s="7"/>
    </row>
    <row r="785" ht="18" customHeight="1" spans="1:7">
      <c r="A785" s="7">
        <v>783</v>
      </c>
      <c r="B785" s="7" t="str">
        <f t="shared" si="58"/>
        <v>0304</v>
      </c>
      <c r="C785" s="7" t="s">
        <v>50</v>
      </c>
      <c r="D785" s="7" t="str">
        <f t="shared" si="57"/>
        <v>辅导员岗</v>
      </c>
      <c r="E785" s="7" t="str">
        <f>"张铭萱"</f>
        <v>张铭萱</v>
      </c>
      <c r="F785" s="7" t="s">
        <v>46</v>
      </c>
      <c r="G785" s="7"/>
    </row>
    <row r="786" ht="18" customHeight="1" spans="1:7">
      <c r="A786" s="7">
        <v>784</v>
      </c>
      <c r="B786" s="7" t="str">
        <f t="shared" si="58"/>
        <v>0304</v>
      </c>
      <c r="C786" s="7" t="s">
        <v>50</v>
      </c>
      <c r="D786" s="7" t="str">
        <f t="shared" si="57"/>
        <v>辅导员岗</v>
      </c>
      <c r="E786" s="7" t="str">
        <f>"刘鹏伟"</f>
        <v>刘鹏伟</v>
      </c>
      <c r="F786" s="7" t="s">
        <v>46</v>
      </c>
      <c r="G786" s="7"/>
    </row>
    <row r="787" ht="18" customHeight="1" spans="1:7">
      <c r="A787" s="7">
        <v>785</v>
      </c>
      <c r="B787" s="7" t="str">
        <f t="shared" si="58"/>
        <v>0304</v>
      </c>
      <c r="C787" s="7" t="s">
        <v>50</v>
      </c>
      <c r="D787" s="7" t="str">
        <f t="shared" si="57"/>
        <v>辅导员岗</v>
      </c>
      <c r="E787" s="7" t="str">
        <f>"毕文玉"</f>
        <v>毕文玉</v>
      </c>
      <c r="F787" s="7" t="s">
        <v>46</v>
      </c>
      <c r="G787" s="7"/>
    </row>
    <row r="788" ht="18" customHeight="1" spans="1:7">
      <c r="A788" s="7">
        <v>786</v>
      </c>
      <c r="B788" s="7" t="str">
        <f t="shared" si="58"/>
        <v>0304</v>
      </c>
      <c r="C788" s="7" t="s">
        <v>50</v>
      </c>
      <c r="D788" s="7" t="str">
        <f t="shared" si="57"/>
        <v>辅导员岗</v>
      </c>
      <c r="E788" s="7" t="str">
        <f>"吴英杰"</f>
        <v>吴英杰</v>
      </c>
      <c r="F788" s="7" t="s">
        <v>46</v>
      </c>
      <c r="G788" s="7"/>
    </row>
    <row r="789" ht="18" customHeight="1" spans="1:7">
      <c r="A789" s="7">
        <v>787</v>
      </c>
      <c r="B789" s="7" t="str">
        <f t="shared" si="58"/>
        <v>0304</v>
      </c>
      <c r="C789" s="7" t="s">
        <v>50</v>
      </c>
      <c r="D789" s="7" t="str">
        <f t="shared" si="57"/>
        <v>辅导员岗</v>
      </c>
      <c r="E789" s="7" t="str">
        <f>"王子申"</f>
        <v>王子申</v>
      </c>
      <c r="F789" s="7" t="s">
        <v>46</v>
      </c>
      <c r="G789" s="7"/>
    </row>
    <row r="790" ht="18" customHeight="1" spans="1:7">
      <c r="A790" s="7">
        <v>788</v>
      </c>
      <c r="B790" s="7" t="str">
        <f t="shared" si="58"/>
        <v>0304</v>
      </c>
      <c r="C790" s="7" t="s">
        <v>50</v>
      </c>
      <c r="D790" s="7" t="str">
        <f t="shared" si="57"/>
        <v>辅导员岗</v>
      </c>
      <c r="E790" s="7" t="str">
        <f>"彭轩睿"</f>
        <v>彭轩睿</v>
      </c>
      <c r="F790" s="7" t="s">
        <v>46</v>
      </c>
      <c r="G790" s="7"/>
    </row>
    <row r="791" ht="18" customHeight="1" spans="1:7">
      <c r="A791" s="7">
        <v>789</v>
      </c>
      <c r="B791" s="7" t="str">
        <f t="shared" si="58"/>
        <v>0304</v>
      </c>
      <c r="C791" s="7" t="s">
        <v>50</v>
      </c>
      <c r="D791" s="7" t="str">
        <f t="shared" si="57"/>
        <v>辅导员岗</v>
      </c>
      <c r="E791" s="7" t="str">
        <f>"刘诗桐"</f>
        <v>刘诗桐</v>
      </c>
      <c r="F791" s="7" t="s">
        <v>46</v>
      </c>
      <c r="G791" s="7"/>
    </row>
    <row r="792" ht="18" customHeight="1" spans="1:7">
      <c r="A792" s="7">
        <v>790</v>
      </c>
      <c r="B792" s="7" t="str">
        <f t="shared" ref="B792:B830" si="59">"0401"</f>
        <v>0401</v>
      </c>
      <c r="C792" s="7" t="s">
        <v>51</v>
      </c>
      <c r="D792" s="7" t="s">
        <v>52</v>
      </c>
      <c r="E792" s="7" t="str">
        <f>"翁良珠"</f>
        <v>翁良珠</v>
      </c>
      <c r="F792" s="7" t="s">
        <v>53</v>
      </c>
      <c r="G792" s="7"/>
    </row>
    <row r="793" ht="18" customHeight="1" spans="1:7">
      <c r="A793" s="7">
        <v>791</v>
      </c>
      <c r="B793" s="7" t="str">
        <f t="shared" si="59"/>
        <v>0401</v>
      </c>
      <c r="C793" s="7" t="s">
        <v>51</v>
      </c>
      <c r="D793" s="7" t="s">
        <v>52</v>
      </c>
      <c r="E793" s="7" t="str">
        <f>"李泽弘"</f>
        <v>李泽弘</v>
      </c>
      <c r="F793" s="7" t="s">
        <v>53</v>
      </c>
      <c r="G793" s="7"/>
    </row>
    <row r="794" ht="18" customHeight="1" spans="1:7">
      <c r="A794" s="7">
        <v>792</v>
      </c>
      <c r="B794" s="7" t="str">
        <f t="shared" si="59"/>
        <v>0401</v>
      </c>
      <c r="C794" s="7" t="s">
        <v>51</v>
      </c>
      <c r="D794" s="7" t="s">
        <v>52</v>
      </c>
      <c r="E794" s="7" t="str">
        <f>"付雨欣"</f>
        <v>付雨欣</v>
      </c>
      <c r="F794" s="7" t="s">
        <v>53</v>
      </c>
      <c r="G794" s="7"/>
    </row>
    <row r="795" ht="18" customHeight="1" spans="1:7">
      <c r="A795" s="7">
        <v>793</v>
      </c>
      <c r="B795" s="7" t="str">
        <f t="shared" si="59"/>
        <v>0401</v>
      </c>
      <c r="C795" s="7" t="s">
        <v>51</v>
      </c>
      <c r="D795" s="7" t="s">
        <v>52</v>
      </c>
      <c r="E795" s="7" t="str">
        <f>"谢亚丽"</f>
        <v>谢亚丽</v>
      </c>
      <c r="F795" s="7" t="s">
        <v>53</v>
      </c>
      <c r="G795" s="7"/>
    </row>
    <row r="796" ht="18" customHeight="1" spans="1:7">
      <c r="A796" s="7">
        <v>794</v>
      </c>
      <c r="B796" s="7" t="str">
        <f t="shared" si="59"/>
        <v>0401</v>
      </c>
      <c r="C796" s="7" t="s">
        <v>51</v>
      </c>
      <c r="D796" s="7" t="s">
        <v>52</v>
      </c>
      <c r="E796" s="7" t="str">
        <f>"张丽"</f>
        <v>张丽</v>
      </c>
      <c r="F796" s="7" t="s">
        <v>53</v>
      </c>
      <c r="G796" s="7"/>
    </row>
    <row r="797" ht="18" customHeight="1" spans="1:7">
      <c r="A797" s="7">
        <v>795</v>
      </c>
      <c r="B797" s="7" t="str">
        <f t="shared" si="59"/>
        <v>0401</v>
      </c>
      <c r="C797" s="7" t="s">
        <v>51</v>
      </c>
      <c r="D797" s="7" t="s">
        <v>52</v>
      </c>
      <c r="E797" s="7" t="str">
        <f>"李文丽"</f>
        <v>李文丽</v>
      </c>
      <c r="F797" s="7" t="s">
        <v>53</v>
      </c>
      <c r="G797" s="7"/>
    </row>
    <row r="798" ht="18" customHeight="1" spans="1:7">
      <c r="A798" s="7">
        <v>796</v>
      </c>
      <c r="B798" s="7" t="str">
        <f t="shared" si="59"/>
        <v>0401</v>
      </c>
      <c r="C798" s="7" t="s">
        <v>51</v>
      </c>
      <c r="D798" s="7" t="s">
        <v>52</v>
      </c>
      <c r="E798" s="7" t="str">
        <f>"张启浩"</f>
        <v>张启浩</v>
      </c>
      <c r="F798" s="7" t="s">
        <v>53</v>
      </c>
      <c r="G798" s="7"/>
    </row>
    <row r="799" ht="18" customHeight="1" spans="1:7">
      <c r="A799" s="7">
        <v>797</v>
      </c>
      <c r="B799" s="7" t="str">
        <f t="shared" si="59"/>
        <v>0401</v>
      </c>
      <c r="C799" s="7" t="s">
        <v>51</v>
      </c>
      <c r="D799" s="7" t="s">
        <v>52</v>
      </c>
      <c r="E799" s="7" t="str">
        <f>"于姗"</f>
        <v>于姗</v>
      </c>
      <c r="F799" s="7" t="s">
        <v>53</v>
      </c>
      <c r="G799" s="7"/>
    </row>
    <row r="800" ht="18" customHeight="1" spans="1:7">
      <c r="A800" s="7">
        <v>798</v>
      </c>
      <c r="B800" s="7" t="str">
        <f t="shared" si="59"/>
        <v>0401</v>
      </c>
      <c r="C800" s="7" t="s">
        <v>51</v>
      </c>
      <c r="D800" s="7" t="s">
        <v>52</v>
      </c>
      <c r="E800" s="7" t="str">
        <f>"涂雨杏"</f>
        <v>涂雨杏</v>
      </c>
      <c r="F800" s="7" t="s">
        <v>53</v>
      </c>
      <c r="G800" s="7"/>
    </row>
    <row r="801" ht="18" customHeight="1" spans="1:7">
      <c r="A801" s="7">
        <v>799</v>
      </c>
      <c r="B801" s="7" t="str">
        <f t="shared" si="59"/>
        <v>0401</v>
      </c>
      <c r="C801" s="7" t="s">
        <v>51</v>
      </c>
      <c r="D801" s="7" t="s">
        <v>52</v>
      </c>
      <c r="E801" s="7" t="str">
        <f>"寇靖"</f>
        <v>寇靖</v>
      </c>
      <c r="F801" s="7" t="s">
        <v>53</v>
      </c>
      <c r="G801" s="7"/>
    </row>
    <row r="802" ht="18" customHeight="1" spans="1:7">
      <c r="A802" s="7">
        <v>800</v>
      </c>
      <c r="B802" s="7" t="str">
        <f t="shared" si="59"/>
        <v>0401</v>
      </c>
      <c r="C802" s="7" t="s">
        <v>51</v>
      </c>
      <c r="D802" s="7" t="s">
        <v>52</v>
      </c>
      <c r="E802" s="7" t="str">
        <f>"刘子琪"</f>
        <v>刘子琪</v>
      </c>
      <c r="F802" s="7" t="s">
        <v>53</v>
      </c>
      <c r="G802" s="7"/>
    </row>
    <row r="803" ht="18" customHeight="1" spans="1:7">
      <c r="A803" s="7">
        <v>801</v>
      </c>
      <c r="B803" s="7" t="str">
        <f t="shared" si="59"/>
        <v>0401</v>
      </c>
      <c r="C803" s="7" t="s">
        <v>51</v>
      </c>
      <c r="D803" s="7" t="s">
        <v>52</v>
      </c>
      <c r="E803" s="7" t="str">
        <f>"何政通"</f>
        <v>何政通</v>
      </c>
      <c r="F803" s="7" t="s">
        <v>53</v>
      </c>
      <c r="G803" s="7"/>
    </row>
    <row r="804" ht="18" customHeight="1" spans="1:7">
      <c r="A804" s="7">
        <v>802</v>
      </c>
      <c r="B804" s="7" t="str">
        <f t="shared" si="59"/>
        <v>0401</v>
      </c>
      <c r="C804" s="7" t="s">
        <v>51</v>
      </c>
      <c r="D804" s="7" t="s">
        <v>52</v>
      </c>
      <c r="E804" s="7" t="str">
        <f>"欧阳丽娜"</f>
        <v>欧阳丽娜</v>
      </c>
      <c r="F804" s="7" t="s">
        <v>53</v>
      </c>
      <c r="G804" s="7"/>
    </row>
    <row r="805" ht="18" customHeight="1" spans="1:7">
      <c r="A805" s="7">
        <v>803</v>
      </c>
      <c r="B805" s="7" t="str">
        <f t="shared" si="59"/>
        <v>0401</v>
      </c>
      <c r="C805" s="7" t="s">
        <v>51</v>
      </c>
      <c r="D805" s="7" t="s">
        <v>52</v>
      </c>
      <c r="E805" s="7" t="str">
        <f>"吕秀燕"</f>
        <v>吕秀燕</v>
      </c>
      <c r="F805" s="7" t="s">
        <v>53</v>
      </c>
      <c r="G805" s="7"/>
    </row>
    <row r="806" ht="18" customHeight="1" spans="1:7">
      <c r="A806" s="7">
        <v>804</v>
      </c>
      <c r="B806" s="7" t="str">
        <f t="shared" si="59"/>
        <v>0401</v>
      </c>
      <c r="C806" s="7" t="s">
        <v>51</v>
      </c>
      <c r="D806" s="7" t="s">
        <v>52</v>
      </c>
      <c r="E806" s="7" t="str">
        <f>"黄思宇"</f>
        <v>黄思宇</v>
      </c>
      <c r="F806" s="7" t="s">
        <v>53</v>
      </c>
      <c r="G806" s="7"/>
    </row>
    <row r="807" ht="18" customHeight="1" spans="1:7">
      <c r="A807" s="7">
        <v>805</v>
      </c>
      <c r="B807" s="7" t="str">
        <f t="shared" si="59"/>
        <v>0401</v>
      </c>
      <c r="C807" s="7" t="s">
        <v>51</v>
      </c>
      <c r="D807" s="7" t="s">
        <v>52</v>
      </c>
      <c r="E807" s="7" t="str">
        <f>"杨霖"</f>
        <v>杨霖</v>
      </c>
      <c r="F807" s="7" t="s">
        <v>53</v>
      </c>
      <c r="G807" s="7"/>
    </row>
    <row r="808" ht="18" customHeight="1" spans="1:7">
      <c r="A808" s="7">
        <v>806</v>
      </c>
      <c r="B808" s="7" t="str">
        <f t="shared" si="59"/>
        <v>0401</v>
      </c>
      <c r="C808" s="7" t="s">
        <v>51</v>
      </c>
      <c r="D808" s="7" t="s">
        <v>52</v>
      </c>
      <c r="E808" s="7" t="str">
        <f>"方立祺"</f>
        <v>方立祺</v>
      </c>
      <c r="F808" s="7" t="s">
        <v>53</v>
      </c>
      <c r="G808" s="7"/>
    </row>
    <row r="809" ht="18" customHeight="1" spans="1:7">
      <c r="A809" s="7">
        <v>807</v>
      </c>
      <c r="B809" s="7" t="str">
        <f t="shared" si="59"/>
        <v>0401</v>
      </c>
      <c r="C809" s="7" t="s">
        <v>51</v>
      </c>
      <c r="D809" s="7" t="s">
        <v>52</v>
      </c>
      <c r="E809" s="7" t="str">
        <f>"孙艺瑄"</f>
        <v>孙艺瑄</v>
      </c>
      <c r="F809" s="7" t="s">
        <v>53</v>
      </c>
      <c r="G809" s="7"/>
    </row>
    <row r="810" ht="18" customHeight="1" spans="1:7">
      <c r="A810" s="7">
        <v>808</v>
      </c>
      <c r="B810" s="7" t="str">
        <f t="shared" si="59"/>
        <v>0401</v>
      </c>
      <c r="C810" s="7" t="s">
        <v>51</v>
      </c>
      <c r="D810" s="7" t="s">
        <v>52</v>
      </c>
      <c r="E810" s="7" t="str">
        <f>"王天琦"</f>
        <v>王天琦</v>
      </c>
      <c r="F810" s="7" t="s">
        <v>53</v>
      </c>
      <c r="G810" s="7"/>
    </row>
    <row r="811" ht="18" customHeight="1" spans="1:7">
      <c r="A811" s="7">
        <v>809</v>
      </c>
      <c r="B811" s="7" t="str">
        <f t="shared" si="59"/>
        <v>0401</v>
      </c>
      <c r="C811" s="7" t="s">
        <v>51</v>
      </c>
      <c r="D811" s="7" t="s">
        <v>52</v>
      </c>
      <c r="E811" s="7" t="str">
        <f>"钱怡苇"</f>
        <v>钱怡苇</v>
      </c>
      <c r="F811" s="7" t="s">
        <v>53</v>
      </c>
      <c r="G811" s="7"/>
    </row>
    <row r="812" ht="18" customHeight="1" spans="1:7">
      <c r="A812" s="7">
        <v>810</v>
      </c>
      <c r="B812" s="7" t="str">
        <f t="shared" si="59"/>
        <v>0401</v>
      </c>
      <c r="C812" s="7" t="s">
        <v>51</v>
      </c>
      <c r="D812" s="7" t="s">
        <v>52</v>
      </c>
      <c r="E812" s="7" t="str">
        <f>"吴佳芮"</f>
        <v>吴佳芮</v>
      </c>
      <c r="F812" s="7" t="s">
        <v>53</v>
      </c>
      <c r="G812" s="7"/>
    </row>
    <row r="813" ht="18" customHeight="1" spans="1:7">
      <c r="A813" s="7">
        <v>811</v>
      </c>
      <c r="B813" s="7" t="str">
        <f t="shared" si="59"/>
        <v>0401</v>
      </c>
      <c r="C813" s="7" t="s">
        <v>51</v>
      </c>
      <c r="D813" s="7" t="s">
        <v>52</v>
      </c>
      <c r="E813" s="7" t="str">
        <f>"李宁"</f>
        <v>李宁</v>
      </c>
      <c r="F813" s="7" t="s">
        <v>53</v>
      </c>
      <c r="G813" s="7"/>
    </row>
    <row r="814" ht="18" customHeight="1" spans="1:7">
      <c r="A814" s="7">
        <v>812</v>
      </c>
      <c r="B814" s="7" t="str">
        <f t="shared" si="59"/>
        <v>0401</v>
      </c>
      <c r="C814" s="7" t="s">
        <v>51</v>
      </c>
      <c r="D814" s="7" t="s">
        <v>52</v>
      </c>
      <c r="E814" s="7" t="str">
        <f>"贲苗苗"</f>
        <v>贲苗苗</v>
      </c>
      <c r="F814" s="7" t="s">
        <v>53</v>
      </c>
      <c r="G814" s="7"/>
    </row>
    <row r="815" ht="18" customHeight="1" spans="1:7">
      <c r="A815" s="7">
        <v>813</v>
      </c>
      <c r="B815" s="7" t="str">
        <f t="shared" si="59"/>
        <v>0401</v>
      </c>
      <c r="C815" s="7" t="s">
        <v>51</v>
      </c>
      <c r="D815" s="7" t="s">
        <v>52</v>
      </c>
      <c r="E815" s="7" t="str">
        <f>"宫淑悦"</f>
        <v>宫淑悦</v>
      </c>
      <c r="F815" s="7" t="s">
        <v>53</v>
      </c>
      <c r="G815" s="7"/>
    </row>
    <row r="816" ht="18" customHeight="1" spans="1:7">
      <c r="A816" s="7">
        <v>814</v>
      </c>
      <c r="B816" s="7" t="str">
        <f t="shared" si="59"/>
        <v>0401</v>
      </c>
      <c r="C816" s="7" t="s">
        <v>51</v>
      </c>
      <c r="D816" s="7" t="s">
        <v>52</v>
      </c>
      <c r="E816" s="7" t="str">
        <f>"杨晗"</f>
        <v>杨晗</v>
      </c>
      <c r="F816" s="7" t="s">
        <v>53</v>
      </c>
      <c r="G816" s="7"/>
    </row>
    <row r="817" ht="18" customHeight="1" spans="1:7">
      <c r="A817" s="7">
        <v>815</v>
      </c>
      <c r="B817" s="7" t="str">
        <f t="shared" si="59"/>
        <v>0401</v>
      </c>
      <c r="C817" s="7" t="s">
        <v>51</v>
      </c>
      <c r="D817" s="7" t="s">
        <v>52</v>
      </c>
      <c r="E817" s="7" t="str">
        <f>"张凡"</f>
        <v>张凡</v>
      </c>
      <c r="F817" s="7" t="s">
        <v>53</v>
      </c>
      <c r="G817" s="7"/>
    </row>
    <row r="818" ht="18" customHeight="1" spans="1:7">
      <c r="A818" s="7">
        <v>816</v>
      </c>
      <c r="B818" s="7" t="str">
        <f t="shared" si="59"/>
        <v>0401</v>
      </c>
      <c r="C818" s="7" t="s">
        <v>51</v>
      </c>
      <c r="D818" s="7" t="s">
        <v>52</v>
      </c>
      <c r="E818" s="7" t="str">
        <f>"董澄和"</f>
        <v>董澄和</v>
      </c>
      <c r="F818" s="7" t="s">
        <v>53</v>
      </c>
      <c r="G818" s="7"/>
    </row>
    <row r="819" ht="18" customHeight="1" spans="1:7">
      <c r="A819" s="7">
        <v>817</v>
      </c>
      <c r="B819" s="7" t="str">
        <f t="shared" si="59"/>
        <v>0401</v>
      </c>
      <c r="C819" s="7" t="s">
        <v>51</v>
      </c>
      <c r="D819" s="7" t="s">
        <v>52</v>
      </c>
      <c r="E819" s="7" t="str">
        <f>"王雪冉"</f>
        <v>王雪冉</v>
      </c>
      <c r="F819" s="7" t="s">
        <v>53</v>
      </c>
      <c r="G819" s="7"/>
    </row>
    <row r="820" ht="18" customHeight="1" spans="1:7">
      <c r="A820" s="7">
        <v>818</v>
      </c>
      <c r="B820" s="7" t="str">
        <f t="shared" si="59"/>
        <v>0401</v>
      </c>
      <c r="C820" s="7" t="s">
        <v>51</v>
      </c>
      <c r="D820" s="7" t="s">
        <v>52</v>
      </c>
      <c r="E820" s="7" t="str">
        <f>"林斯展"</f>
        <v>林斯展</v>
      </c>
      <c r="F820" s="7" t="s">
        <v>53</v>
      </c>
      <c r="G820" s="7"/>
    </row>
    <row r="821" ht="18" customHeight="1" spans="1:7">
      <c r="A821" s="7">
        <v>819</v>
      </c>
      <c r="B821" s="7" t="str">
        <f t="shared" si="59"/>
        <v>0401</v>
      </c>
      <c r="C821" s="7" t="s">
        <v>51</v>
      </c>
      <c r="D821" s="7" t="s">
        <v>52</v>
      </c>
      <c r="E821" s="7" t="str">
        <f>"袁瑞峰"</f>
        <v>袁瑞峰</v>
      </c>
      <c r="F821" s="7" t="s">
        <v>53</v>
      </c>
      <c r="G821" s="7"/>
    </row>
    <row r="822" ht="18" customHeight="1" spans="1:7">
      <c r="A822" s="7">
        <v>820</v>
      </c>
      <c r="B822" s="7" t="str">
        <f t="shared" si="59"/>
        <v>0401</v>
      </c>
      <c r="C822" s="7" t="s">
        <v>51</v>
      </c>
      <c r="D822" s="7" t="s">
        <v>52</v>
      </c>
      <c r="E822" s="7" t="str">
        <f>"汤世康"</f>
        <v>汤世康</v>
      </c>
      <c r="F822" s="7" t="s">
        <v>53</v>
      </c>
      <c r="G822" s="7"/>
    </row>
    <row r="823" ht="18" customHeight="1" spans="1:7">
      <c r="A823" s="7">
        <v>821</v>
      </c>
      <c r="B823" s="7" t="str">
        <f t="shared" si="59"/>
        <v>0401</v>
      </c>
      <c r="C823" s="7" t="s">
        <v>51</v>
      </c>
      <c r="D823" s="7" t="s">
        <v>52</v>
      </c>
      <c r="E823" s="7" t="str">
        <f>"胡狄"</f>
        <v>胡狄</v>
      </c>
      <c r="F823" s="7" t="s">
        <v>53</v>
      </c>
      <c r="G823" s="7"/>
    </row>
    <row r="824" ht="18" customHeight="1" spans="1:7">
      <c r="A824" s="7">
        <v>822</v>
      </c>
      <c r="B824" s="7" t="str">
        <f t="shared" si="59"/>
        <v>0401</v>
      </c>
      <c r="C824" s="7" t="s">
        <v>51</v>
      </c>
      <c r="D824" s="7" t="s">
        <v>52</v>
      </c>
      <c r="E824" s="7" t="str">
        <f>"何慧夏"</f>
        <v>何慧夏</v>
      </c>
      <c r="F824" s="7" t="s">
        <v>53</v>
      </c>
      <c r="G824" s="7"/>
    </row>
    <row r="825" ht="18" customHeight="1" spans="1:7">
      <c r="A825" s="7">
        <v>823</v>
      </c>
      <c r="B825" s="7" t="str">
        <f t="shared" si="59"/>
        <v>0401</v>
      </c>
      <c r="C825" s="7" t="s">
        <v>51</v>
      </c>
      <c r="D825" s="7" t="s">
        <v>52</v>
      </c>
      <c r="E825" s="7" t="str">
        <f>"王丹"</f>
        <v>王丹</v>
      </c>
      <c r="F825" s="7" t="s">
        <v>53</v>
      </c>
      <c r="G825" s="7"/>
    </row>
    <row r="826" ht="18" customHeight="1" spans="1:7">
      <c r="A826" s="7">
        <v>824</v>
      </c>
      <c r="B826" s="7" t="str">
        <f t="shared" si="59"/>
        <v>0401</v>
      </c>
      <c r="C826" s="7" t="s">
        <v>51</v>
      </c>
      <c r="D826" s="7" t="s">
        <v>52</v>
      </c>
      <c r="E826" s="7" t="str">
        <f>"田徐然"</f>
        <v>田徐然</v>
      </c>
      <c r="F826" s="7" t="s">
        <v>53</v>
      </c>
      <c r="G826" s="7"/>
    </row>
    <row r="827" ht="18" customHeight="1" spans="1:7">
      <c r="A827" s="7">
        <v>825</v>
      </c>
      <c r="B827" s="7" t="str">
        <f t="shared" si="59"/>
        <v>0401</v>
      </c>
      <c r="C827" s="7" t="s">
        <v>51</v>
      </c>
      <c r="D827" s="7" t="s">
        <v>52</v>
      </c>
      <c r="E827" s="7" t="str">
        <f>"韩岩杉"</f>
        <v>韩岩杉</v>
      </c>
      <c r="F827" s="7" t="s">
        <v>53</v>
      </c>
      <c r="G827" s="7"/>
    </row>
    <row r="828" ht="18" customHeight="1" spans="1:7">
      <c r="A828" s="7">
        <v>826</v>
      </c>
      <c r="B828" s="7" t="str">
        <f t="shared" si="59"/>
        <v>0401</v>
      </c>
      <c r="C828" s="7" t="s">
        <v>51</v>
      </c>
      <c r="D828" s="7" t="s">
        <v>52</v>
      </c>
      <c r="E828" s="7" t="str">
        <f>"孟倩"</f>
        <v>孟倩</v>
      </c>
      <c r="F828" s="7" t="s">
        <v>53</v>
      </c>
      <c r="G828" s="7"/>
    </row>
    <row r="829" ht="18" customHeight="1" spans="1:7">
      <c r="A829" s="7">
        <v>827</v>
      </c>
      <c r="B829" s="7" t="str">
        <f t="shared" si="59"/>
        <v>0401</v>
      </c>
      <c r="C829" s="7" t="s">
        <v>51</v>
      </c>
      <c r="D829" s="7" t="s">
        <v>52</v>
      </c>
      <c r="E829" s="7" t="str">
        <f>"马宇虹"</f>
        <v>马宇虹</v>
      </c>
      <c r="F829" s="7" t="s">
        <v>53</v>
      </c>
      <c r="G829" s="7"/>
    </row>
    <row r="830" ht="18" customHeight="1" spans="1:7">
      <c r="A830" s="7">
        <v>828</v>
      </c>
      <c r="B830" s="7" t="str">
        <f t="shared" si="59"/>
        <v>0401</v>
      </c>
      <c r="C830" s="7" t="s">
        <v>51</v>
      </c>
      <c r="D830" s="7" t="s">
        <v>52</v>
      </c>
      <c r="E830" s="7" t="str">
        <f>"尹佳琪"</f>
        <v>尹佳琪</v>
      </c>
      <c r="F830" s="7" t="s">
        <v>53</v>
      </c>
      <c r="G830" s="7"/>
    </row>
    <row r="831" ht="18" customHeight="1" spans="1:7">
      <c r="A831" s="7">
        <v>829</v>
      </c>
      <c r="B831" s="7" t="str">
        <f t="shared" ref="B831:B894" si="60">"0402"</f>
        <v>0402</v>
      </c>
      <c r="C831" s="7" t="s">
        <v>54</v>
      </c>
      <c r="D831" s="7" t="s">
        <v>52</v>
      </c>
      <c r="E831" s="7" t="str">
        <f>"李淑贞"</f>
        <v>李淑贞</v>
      </c>
      <c r="F831" s="7" t="s">
        <v>53</v>
      </c>
      <c r="G831" s="7"/>
    </row>
    <row r="832" ht="18" customHeight="1" spans="1:7">
      <c r="A832" s="7">
        <v>830</v>
      </c>
      <c r="B832" s="7" t="str">
        <f t="shared" si="60"/>
        <v>0402</v>
      </c>
      <c r="C832" s="7" t="s">
        <v>54</v>
      </c>
      <c r="D832" s="7" t="s">
        <v>52</v>
      </c>
      <c r="E832" s="7" t="str">
        <f>"王凯歌"</f>
        <v>王凯歌</v>
      </c>
      <c r="F832" s="7" t="s">
        <v>53</v>
      </c>
      <c r="G832" s="7"/>
    </row>
    <row r="833" ht="18" customHeight="1" spans="1:7">
      <c r="A833" s="7">
        <v>831</v>
      </c>
      <c r="B833" s="7" t="str">
        <f t="shared" si="60"/>
        <v>0402</v>
      </c>
      <c r="C833" s="7" t="s">
        <v>54</v>
      </c>
      <c r="D833" s="7" t="s">
        <v>52</v>
      </c>
      <c r="E833" s="7" t="str">
        <f>"魏铭宣"</f>
        <v>魏铭宣</v>
      </c>
      <c r="F833" s="7" t="s">
        <v>53</v>
      </c>
      <c r="G833" s="7"/>
    </row>
    <row r="834" ht="18" customHeight="1" spans="1:7">
      <c r="A834" s="7">
        <v>832</v>
      </c>
      <c r="B834" s="7" t="str">
        <f t="shared" si="60"/>
        <v>0402</v>
      </c>
      <c r="C834" s="7" t="s">
        <v>54</v>
      </c>
      <c r="D834" s="7" t="s">
        <v>52</v>
      </c>
      <c r="E834" s="7" t="str">
        <f>"樊宇航"</f>
        <v>樊宇航</v>
      </c>
      <c r="F834" s="7" t="s">
        <v>53</v>
      </c>
      <c r="G834" s="7"/>
    </row>
    <row r="835" ht="18" customHeight="1" spans="1:7">
      <c r="A835" s="7">
        <v>833</v>
      </c>
      <c r="B835" s="7" t="str">
        <f t="shared" si="60"/>
        <v>0402</v>
      </c>
      <c r="C835" s="7" t="s">
        <v>54</v>
      </c>
      <c r="D835" s="7" t="s">
        <v>52</v>
      </c>
      <c r="E835" s="7" t="str">
        <f>"青鸟"</f>
        <v>青鸟</v>
      </c>
      <c r="F835" s="7" t="s">
        <v>53</v>
      </c>
      <c r="G835" s="7"/>
    </row>
    <row r="836" ht="18" customHeight="1" spans="1:7">
      <c r="A836" s="7">
        <v>834</v>
      </c>
      <c r="B836" s="7" t="str">
        <f t="shared" si="60"/>
        <v>0402</v>
      </c>
      <c r="C836" s="7" t="s">
        <v>54</v>
      </c>
      <c r="D836" s="7" t="s">
        <v>52</v>
      </c>
      <c r="E836" s="7" t="str">
        <f>"苏燕"</f>
        <v>苏燕</v>
      </c>
      <c r="F836" s="7" t="s">
        <v>53</v>
      </c>
      <c r="G836" s="7"/>
    </row>
    <row r="837" ht="18" customHeight="1" spans="1:7">
      <c r="A837" s="7">
        <v>835</v>
      </c>
      <c r="B837" s="7" t="str">
        <f t="shared" si="60"/>
        <v>0402</v>
      </c>
      <c r="C837" s="7" t="s">
        <v>54</v>
      </c>
      <c r="D837" s="7" t="s">
        <v>52</v>
      </c>
      <c r="E837" s="7" t="str">
        <f>"符翔"</f>
        <v>符翔</v>
      </c>
      <c r="F837" s="7" t="s">
        <v>53</v>
      </c>
      <c r="G837" s="7"/>
    </row>
    <row r="838" ht="18" customHeight="1" spans="1:7">
      <c r="A838" s="7">
        <v>836</v>
      </c>
      <c r="B838" s="7" t="str">
        <f t="shared" si="60"/>
        <v>0402</v>
      </c>
      <c r="C838" s="7" t="s">
        <v>54</v>
      </c>
      <c r="D838" s="7" t="s">
        <v>52</v>
      </c>
      <c r="E838" s="7" t="str">
        <f>"孙朗境"</f>
        <v>孙朗境</v>
      </c>
      <c r="F838" s="7" t="s">
        <v>53</v>
      </c>
      <c r="G838" s="7"/>
    </row>
    <row r="839" ht="18" customHeight="1" spans="1:7">
      <c r="A839" s="7">
        <v>837</v>
      </c>
      <c r="B839" s="7" t="str">
        <f t="shared" si="60"/>
        <v>0402</v>
      </c>
      <c r="C839" s="7" t="s">
        <v>54</v>
      </c>
      <c r="D839" s="7" t="s">
        <v>52</v>
      </c>
      <c r="E839" s="7" t="str">
        <f>"刘笑林"</f>
        <v>刘笑林</v>
      </c>
      <c r="F839" s="7" t="s">
        <v>53</v>
      </c>
      <c r="G839" s="7"/>
    </row>
    <row r="840" ht="18" customHeight="1" spans="1:7">
      <c r="A840" s="7">
        <v>838</v>
      </c>
      <c r="B840" s="7" t="str">
        <f t="shared" si="60"/>
        <v>0402</v>
      </c>
      <c r="C840" s="7" t="s">
        <v>54</v>
      </c>
      <c r="D840" s="7" t="s">
        <v>52</v>
      </c>
      <c r="E840" s="7" t="str">
        <f>"蔡小雪"</f>
        <v>蔡小雪</v>
      </c>
      <c r="F840" s="7" t="s">
        <v>53</v>
      </c>
      <c r="G840" s="7"/>
    </row>
    <row r="841" ht="18" customHeight="1" spans="1:7">
      <c r="A841" s="7">
        <v>839</v>
      </c>
      <c r="B841" s="7" t="str">
        <f t="shared" si="60"/>
        <v>0402</v>
      </c>
      <c r="C841" s="7" t="s">
        <v>54</v>
      </c>
      <c r="D841" s="7" t="s">
        <v>52</v>
      </c>
      <c r="E841" s="7" t="str">
        <f>"李雪茹"</f>
        <v>李雪茹</v>
      </c>
      <c r="F841" s="7" t="s">
        <v>53</v>
      </c>
      <c r="G841" s="7"/>
    </row>
    <row r="842" ht="18" customHeight="1" spans="1:7">
      <c r="A842" s="7">
        <v>840</v>
      </c>
      <c r="B842" s="7" t="str">
        <f t="shared" si="60"/>
        <v>0402</v>
      </c>
      <c r="C842" s="7" t="s">
        <v>54</v>
      </c>
      <c r="D842" s="7" t="s">
        <v>52</v>
      </c>
      <c r="E842" s="7" t="str">
        <f>"王伟"</f>
        <v>王伟</v>
      </c>
      <c r="F842" s="7" t="s">
        <v>53</v>
      </c>
      <c r="G842" s="7"/>
    </row>
    <row r="843" ht="18" customHeight="1" spans="1:7">
      <c r="A843" s="7">
        <v>841</v>
      </c>
      <c r="B843" s="7" t="str">
        <f t="shared" si="60"/>
        <v>0402</v>
      </c>
      <c r="C843" s="7" t="s">
        <v>54</v>
      </c>
      <c r="D843" s="7" t="s">
        <v>52</v>
      </c>
      <c r="E843" s="7" t="str">
        <f>"谭佳丹"</f>
        <v>谭佳丹</v>
      </c>
      <c r="F843" s="7" t="s">
        <v>53</v>
      </c>
      <c r="G843" s="7"/>
    </row>
    <row r="844" ht="18" customHeight="1" spans="1:7">
      <c r="A844" s="7">
        <v>842</v>
      </c>
      <c r="B844" s="7" t="str">
        <f t="shared" si="60"/>
        <v>0402</v>
      </c>
      <c r="C844" s="7" t="s">
        <v>54</v>
      </c>
      <c r="D844" s="7" t="s">
        <v>52</v>
      </c>
      <c r="E844" s="7" t="str">
        <f>"李森楠"</f>
        <v>李森楠</v>
      </c>
      <c r="F844" s="7" t="s">
        <v>53</v>
      </c>
      <c r="G844" s="7"/>
    </row>
    <row r="845" ht="18" customHeight="1" spans="1:7">
      <c r="A845" s="7">
        <v>843</v>
      </c>
      <c r="B845" s="7" t="str">
        <f t="shared" si="60"/>
        <v>0402</v>
      </c>
      <c r="C845" s="7" t="s">
        <v>54</v>
      </c>
      <c r="D845" s="7" t="s">
        <v>52</v>
      </c>
      <c r="E845" s="7" t="str">
        <f>"孟媛"</f>
        <v>孟媛</v>
      </c>
      <c r="F845" s="7" t="s">
        <v>53</v>
      </c>
      <c r="G845" s="7"/>
    </row>
    <row r="846" ht="18" customHeight="1" spans="1:7">
      <c r="A846" s="7">
        <v>844</v>
      </c>
      <c r="B846" s="7" t="str">
        <f t="shared" si="60"/>
        <v>0402</v>
      </c>
      <c r="C846" s="7" t="s">
        <v>54</v>
      </c>
      <c r="D846" s="7" t="s">
        <v>52</v>
      </c>
      <c r="E846" s="7" t="str">
        <f>"刘源"</f>
        <v>刘源</v>
      </c>
      <c r="F846" s="7" t="s">
        <v>53</v>
      </c>
      <c r="G846" s="7"/>
    </row>
    <row r="847" ht="18" customHeight="1" spans="1:7">
      <c r="A847" s="7">
        <v>845</v>
      </c>
      <c r="B847" s="7" t="str">
        <f t="shared" si="60"/>
        <v>0402</v>
      </c>
      <c r="C847" s="7" t="s">
        <v>54</v>
      </c>
      <c r="D847" s="7" t="s">
        <v>52</v>
      </c>
      <c r="E847" s="7" t="str">
        <f>"左兰"</f>
        <v>左兰</v>
      </c>
      <c r="F847" s="7" t="s">
        <v>53</v>
      </c>
      <c r="G847" s="7"/>
    </row>
    <row r="848" ht="18" customHeight="1" spans="1:7">
      <c r="A848" s="7">
        <v>846</v>
      </c>
      <c r="B848" s="7" t="str">
        <f t="shared" si="60"/>
        <v>0402</v>
      </c>
      <c r="C848" s="7" t="s">
        <v>54</v>
      </c>
      <c r="D848" s="7" t="s">
        <v>52</v>
      </c>
      <c r="E848" s="7" t="str">
        <f>"陈月琳"</f>
        <v>陈月琳</v>
      </c>
      <c r="F848" s="7" t="s">
        <v>53</v>
      </c>
      <c r="G848" s="7"/>
    </row>
    <row r="849" ht="18" customHeight="1" spans="1:7">
      <c r="A849" s="7">
        <v>847</v>
      </c>
      <c r="B849" s="7" t="str">
        <f t="shared" si="60"/>
        <v>0402</v>
      </c>
      <c r="C849" s="7" t="s">
        <v>54</v>
      </c>
      <c r="D849" s="7" t="s">
        <v>52</v>
      </c>
      <c r="E849" s="7" t="str">
        <f>"韩金恒"</f>
        <v>韩金恒</v>
      </c>
      <c r="F849" s="7" t="s">
        <v>53</v>
      </c>
      <c r="G849" s="7"/>
    </row>
    <row r="850" ht="18" customHeight="1" spans="1:7">
      <c r="A850" s="7">
        <v>848</v>
      </c>
      <c r="B850" s="7" t="str">
        <f t="shared" si="60"/>
        <v>0402</v>
      </c>
      <c r="C850" s="7" t="s">
        <v>54</v>
      </c>
      <c r="D850" s="7" t="s">
        <v>52</v>
      </c>
      <c r="E850" s="7" t="str">
        <f>"崔兰明"</f>
        <v>崔兰明</v>
      </c>
      <c r="F850" s="7" t="s">
        <v>53</v>
      </c>
      <c r="G850" s="7"/>
    </row>
    <row r="851" ht="18" customHeight="1" spans="1:7">
      <c r="A851" s="7">
        <v>849</v>
      </c>
      <c r="B851" s="7" t="str">
        <f t="shared" si="60"/>
        <v>0402</v>
      </c>
      <c r="C851" s="7" t="s">
        <v>54</v>
      </c>
      <c r="D851" s="7" t="s">
        <v>52</v>
      </c>
      <c r="E851" s="7" t="str">
        <f>"王肖霖"</f>
        <v>王肖霖</v>
      </c>
      <c r="F851" s="7" t="s">
        <v>53</v>
      </c>
      <c r="G851" s="7"/>
    </row>
    <row r="852" ht="18" customHeight="1" spans="1:7">
      <c r="A852" s="7">
        <v>850</v>
      </c>
      <c r="B852" s="7" t="str">
        <f t="shared" si="60"/>
        <v>0402</v>
      </c>
      <c r="C852" s="7" t="s">
        <v>54</v>
      </c>
      <c r="D852" s="7" t="s">
        <v>52</v>
      </c>
      <c r="E852" s="7" t="str">
        <f>"燕楠"</f>
        <v>燕楠</v>
      </c>
      <c r="F852" s="7" t="s">
        <v>53</v>
      </c>
      <c r="G852" s="7"/>
    </row>
    <row r="853" ht="18" customHeight="1" spans="1:7">
      <c r="A853" s="7">
        <v>851</v>
      </c>
      <c r="B853" s="7" t="str">
        <f t="shared" si="60"/>
        <v>0402</v>
      </c>
      <c r="C853" s="7" t="s">
        <v>54</v>
      </c>
      <c r="D853" s="7" t="s">
        <v>52</v>
      </c>
      <c r="E853" s="7" t="str">
        <f>"郑茹月"</f>
        <v>郑茹月</v>
      </c>
      <c r="F853" s="7" t="s">
        <v>53</v>
      </c>
      <c r="G853" s="7"/>
    </row>
    <row r="854" ht="18" customHeight="1" spans="1:7">
      <c r="A854" s="7">
        <v>852</v>
      </c>
      <c r="B854" s="7" t="str">
        <f t="shared" si="60"/>
        <v>0402</v>
      </c>
      <c r="C854" s="7" t="s">
        <v>54</v>
      </c>
      <c r="D854" s="7" t="s">
        <v>52</v>
      </c>
      <c r="E854" s="7" t="str">
        <f>"尚雯"</f>
        <v>尚雯</v>
      </c>
      <c r="F854" s="7" t="s">
        <v>53</v>
      </c>
      <c r="G854" s="7"/>
    </row>
    <row r="855" ht="18" customHeight="1" spans="1:7">
      <c r="A855" s="7">
        <v>853</v>
      </c>
      <c r="B855" s="7" t="str">
        <f t="shared" si="60"/>
        <v>0402</v>
      </c>
      <c r="C855" s="7" t="s">
        <v>54</v>
      </c>
      <c r="D855" s="7" t="s">
        <v>52</v>
      </c>
      <c r="E855" s="7" t="str">
        <f>"王东阳"</f>
        <v>王东阳</v>
      </c>
      <c r="F855" s="7" t="s">
        <v>53</v>
      </c>
      <c r="G855" s="7"/>
    </row>
    <row r="856" ht="18" customHeight="1" spans="1:7">
      <c r="A856" s="7">
        <v>854</v>
      </c>
      <c r="B856" s="7" t="str">
        <f t="shared" si="60"/>
        <v>0402</v>
      </c>
      <c r="C856" s="7" t="s">
        <v>54</v>
      </c>
      <c r="D856" s="7" t="s">
        <v>52</v>
      </c>
      <c r="E856" s="7" t="str">
        <f>"兰燕华"</f>
        <v>兰燕华</v>
      </c>
      <c r="F856" s="7" t="s">
        <v>53</v>
      </c>
      <c r="G856" s="7"/>
    </row>
    <row r="857" ht="18" customHeight="1" spans="1:7">
      <c r="A857" s="7">
        <v>855</v>
      </c>
      <c r="B857" s="7" t="str">
        <f t="shared" si="60"/>
        <v>0402</v>
      </c>
      <c r="C857" s="7" t="s">
        <v>54</v>
      </c>
      <c r="D857" s="7" t="s">
        <v>52</v>
      </c>
      <c r="E857" s="7" t="str">
        <f>"冯万丽"</f>
        <v>冯万丽</v>
      </c>
      <c r="F857" s="7" t="s">
        <v>53</v>
      </c>
      <c r="G857" s="7"/>
    </row>
    <row r="858" ht="18" customHeight="1" spans="1:7">
      <c r="A858" s="7">
        <v>856</v>
      </c>
      <c r="B858" s="7" t="str">
        <f t="shared" si="60"/>
        <v>0402</v>
      </c>
      <c r="C858" s="7" t="s">
        <v>54</v>
      </c>
      <c r="D858" s="7" t="s">
        <v>52</v>
      </c>
      <c r="E858" s="7" t="str">
        <f>"王子文"</f>
        <v>王子文</v>
      </c>
      <c r="F858" s="7" t="s">
        <v>53</v>
      </c>
      <c r="G858" s="7"/>
    </row>
    <row r="859" ht="18" customHeight="1" spans="1:7">
      <c r="A859" s="7">
        <v>857</v>
      </c>
      <c r="B859" s="7" t="str">
        <f t="shared" si="60"/>
        <v>0402</v>
      </c>
      <c r="C859" s="7" t="s">
        <v>54</v>
      </c>
      <c r="D859" s="7" t="s">
        <v>52</v>
      </c>
      <c r="E859" s="7" t="str">
        <f>"周圣楠"</f>
        <v>周圣楠</v>
      </c>
      <c r="F859" s="7" t="s">
        <v>53</v>
      </c>
      <c r="G859" s="7"/>
    </row>
    <row r="860" ht="18" customHeight="1" spans="1:7">
      <c r="A860" s="7">
        <v>858</v>
      </c>
      <c r="B860" s="7" t="str">
        <f t="shared" si="60"/>
        <v>0402</v>
      </c>
      <c r="C860" s="7" t="s">
        <v>54</v>
      </c>
      <c r="D860" s="7" t="s">
        <v>52</v>
      </c>
      <c r="E860" s="7" t="str">
        <f>"杨悦萍"</f>
        <v>杨悦萍</v>
      </c>
      <c r="F860" s="7" t="s">
        <v>53</v>
      </c>
      <c r="G860" s="7"/>
    </row>
    <row r="861" ht="18" customHeight="1" spans="1:7">
      <c r="A861" s="7">
        <v>859</v>
      </c>
      <c r="B861" s="7" t="str">
        <f t="shared" si="60"/>
        <v>0402</v>
      </c>
      <c r="C861" s="7" t="s">
        <v>54</v>
      </c>
      <c r="D861" s="7" t="s">
        <v>52</v>
      </c>
      <c r="E861" s="7" t="str">
        <f>"王丽怡"</f>
        <v>王丽怡</v>
      </c>
      <c r="F861" s="7" t="s">
        <v>53</v>
      </c>
      <c r="G861" s="7"/>
    </row>
    <row r="862" ht="18" customHeight="1" spans="1:7">
      <c r="A862" s="7">
        <v>860</v>
      </c>
      <c r="B862" s="7" t="str">
        <f t="shared" si="60"/>
        <v>0402</v>
      </c>
      <c r="C862" s="7" t="s">
        <v>54</v>
      </c>
      <c r="D862" s="7" t="s">
        <v>52</v>
      </c>
      <c r="E862" s="7" t="str">
        <f>"刘曼"</f>
        <v>刘曼</v>
      </c>
      <c r="F862" s="7" t="s">
        <v>53</v>
      </c>
      <c r="G862" s="7"/>
    </row>
    <row r="863" ht="18" customHeight="1" spans="1:7">
      <c r="A863" s="7">
        <v>861</v>
      </c>
      <c r="B863" s="7" t="str">
        <f t="shared" si="60"/>
        <v>0402</v>
      </c>
      <c r="C863" s="7" t="s">
        <v>54</v>
      </c>
      <c r="D863" s="7" t="s">
        <v>52</v>
      </c>
      <c r="E863" s="7" t="str">
        <f>"符倩艳"</f>
        <v>符倩艳</v>
      </c>
      <c r="F863" s="7" t="s">
        <v>53</v>
      </c>
      <c r="G863" s="7"/>
    </row>
    <row r="864" ht="18" customHeight="1" spans="1:7">
      <c r="A864" s="7">
        <v>862</v>
      </c>
      <c r="B864" s="7" t="str">
        <f t="shared" si="60"/>
        <v>0402</v>
      </c>
      <c r="C864" s="7" t="s">
        <v>54</v>
      </c>
      <c r="D864" s="7" t="s">
        <v>52</v>
      </c>
      <c r="E864" s="7" t="str">
        <f>"辜晓虹"</f>
        <v>辜晓虹</v>
      </c>
      <c r="F864" s="7" t="s">
        <v>53</v>
      </c>
      <c r="G864" s="7"/>
    </row>
    <row r="865" ht="18" customHeight="1" spans="1:7">
      <c r="A865" s="7">
        <v>863</v>
      </c>
      <c r="B865" s="7" t="str">
        <f t="shared" si="60"/>
        <v>0402</v>
      </c>
      <c r="C865" s="7" t="s">
        <v>54</v>
      </c>
      <c r="D865" s="7" t="s">
        <v>52</v>
      </c>
      <c r="E865" s="7" t="str">
        <f>"魏小凡"</f>
        <v>魏小凡</v>
      </c>
      <c r="F865" s="7" t="s">
        <v>53</v>
      </c>
      <c r="G865" s="7"/>
    </row>
    <row r="866" ht="18" customHeight="1" spans="1:7">
      <c r="A866" s="7">
        <v>864</v>
      </c>
      <c r="B866" s="7" t="str">
        <f t="shared" si="60"/>
        <v>0402</v>
      </c>
      <c r="C866" s="7" t="s">
        <v>54</v>
      </c>
      <c r="D866" s="7" t="s">
        <v>52</v>
      </c>
      <c r="E866" s="7" t="str">
        <f>"刘函瑜"</f>
        <v>刘函瑜</v>
      </c>
      <c r="F866" s="7" t="s">
        <v>53</v>
      </c>
      <c r="G866" s="7"/>
    </row>
    <row r="867" ht="18" customHeight="1" spans="1:7">
      <c r="A867" s="7">
        <v>865</v>
      </c>
      <c r="B867" s="7" t="str">
        <f t="shared" si="60"/>
        <v>0402</v>
      </c>
      <c r="C867" s="7" t="s">
        <v>54</v>
      </c>
      <c r="D867" s="7" t="s">
        <v>52</v>
      </c>
      <c r="E867" s="7" t="str">
        <f>"莫泰岗"</f>
        <v>莫泰岗</v>
      </c>
      <c r="F867" s="7" t="s">
        <v>53</v>
      </c>
      <c r="G867" s="7"/>
    </row>
    <row r="868" ht="18" customHeight="1" spans="1:7">
      <c r="A868" s="7">
        <v>866</v>
      </c>
      <c r="B868" s="7" t="str">
        <f t="shared" si="60"/>
        <v>0402</v>
      </c>
      <c r="C868" s="7" t="s">
        <v>54</v>
      </c>
      <c r="D868" s="7" t="s">
        <v>52</v>
      </c>
      <c r="E868" s="7" t="str">
        <f>"龙橘苹"</f>
        <v>龙橘苹</v>
      </c>
      <c r="F868" s="7" t="s">
        <v>53</v>
      </c>
      <c r="G868" s="7"/>
    </row>
    <row r="869" ht="18" customHeight="1" spans="1:7">
      <c r="A869" s="7">
        <v>867</v>
      </c>
      <c r="B869" s="7" t="str">
        <f t="shared" si="60"/>
        <v>0402</v>
      </c>
      <c r="C869" s="7" t="s">
        <v>54</v>
      </c>
      <c r="D869" s="7" t="s">
        <v>52</v>
      </c>
      <c r="E869" s="7" t="str">
        <f>"李爱基"</f>
        <v>李爱基</v>
      </c>
      <c r="F869" s="7" t="s">
        <v>53</v>
      </c>
      <c r="G869" s="7"/>
    </row>
    <row r="870" ht="18" customHeight="1" spans="1:7">
      <c r="A870" s="7">
        <v>868</v>
      </c>
      <c r="B870" s="7" t="str">
        <f t="shared" si="60"/>
        <v>0402</v>
      </c>
      <c r="C870" s="7" t="s">
        <v>54</v>
      </c>
      <c r="D870" s="7" t="s">
        <v>52</v>
      </c>
      <c r="E870" s="7" t="str">
        <f>"敖雪航"</f>
        <v>敖雪航</v>
      </c>
      <c r="F870" s="7" t="s">
        <v>53</v>
      </c>
      <c r="G870" s="7"/>
    </row>
    <row r="871" ht="18" customHeight="1" spans="1:7">
      <c r="A871" s="7">
        <v>869</v>
      </c>
      <c r="B871" s="7" t="str">
        <f t="shared" si="60"/>
        <v>0402</v>
      </c>
      <c r="C871" s="7" t="s">
        <v>54</v>
      </c>
      <c r="D871" s="7" t="s">
        <v>52</v>
      </c>
      <c r="E871" s="7" t="str">
        <f>"李小小"</f>
        <v>李小小</v>
      </c>
      <c r="F871" s="7" t="s">
        <v>53</v>
      </c>
      <c r="G871" s="7"/>
    </row>
    <row r="872" ht="18" customHeight="1" spans="1:7">
      <c r="A872" s="7">
        <v>870</v>
      </c>
      <c r="B872" s="7" t="str">
        <f t="shared" si="60"/>
        <v>0402</v>
      </c>
      <c r="C872" s="7" t="s">
        <v>54</v>
      </c>
      <c r="D872" s="7" t="s">
        <v>52</v>
      </c>
      <c r="E872" s="7" t="str">
        <f>"范晓萱"</f>
        <v>范晓萱</v>
      </c>
      <c r="F872" s="7" t="s">
        <v>53</v>
      </c>
      <c r="G872" s="7"/>
    </row>
    <row r="873" ht="18" customHeight="1" spans="1:7">
      <c r="A873" s="7">
        <v>871</v>
      </c>
      <c r="B873" s="7" t="str">
        <f t="shared" si="60"/>
        <v>0402</v>
      </c>
      <c r="C873" s="7" t="s">
        <v>54</v>
      </c>
      <c r="D873" s="7" t="s">
        <v>52</v>
      </c>
      <c r="E873" s="7" t="str">
        <f>"谢棠"</f>
        <v>谢棠</v>
      </c>
      <c r="F873" s="7" t="s">
        <v>53</v>
      </c>
      <c r="G873" s="7"/>
    </row>
    <row r="874" ht="18" customHeight="1" spans="1:7">
      <c r="A874" s="7">
        <v>872</v>
      </c>
      <c r="B874" s="7" t="str">
        <f t="shared" si="60"/>
        <v>0402</v>
      </c>
      <c r="C874" s="7" t="s">
        <v>54</v>
      </c>
      <c r="D874" s="7" t="s">
        <v>52</v>
      </c>
      <c r="E874" s="7" t="str">
        <f>"邢望京"</f>
        <v>邢望京</v>
      </c>
      <c r="F874" s="7" t="s">
        <v>53</v>
      </c>
      <c r="G874" s="7"/>
    </row>
    <row r="875" ht="18" customHeight="1" spans="1:7">
      <c r="A875" s="7">
        <v>873</v>
      </c>
      <c r="B875" s="7" t="str">
        <f t="shared" si="60"/>
        <v>0402</v>
      </c>
      <c r="C875" s="7" t="s">
        <v>54</v>
      </c>
      <c r="D875" s="7" t="s">
        <v>52</v>
      </c>
      <c r="E875" s="7" t="str">
        <f>"马文宣"</f>
        <v>马文宣</v>
      </c>
      <c r="F875" s="7" t="s">
        <v>53</v>
      </c>
      <c r="G875" s="7"/>
    </row>
    <row r="876" ht="18" customHeight="1" spans="1:7">
      <c r="A876" s="7">
        <v>874</v>
      </c>
      <c r="B876" s="7" t="str">
        <f t="shared" si="60"/>
        <v>0402</v>
      </c>
      <c r="C876" s="7" t="s">
        <v>54</v>
      </c>
      <c r="D876" s="7" t="s">
        <v>52</v>
      </c>
      <c r="E876" s="7" t="str">
        <f>"罗丽萍"</f>
        <v>罗丽萍</v>
      </c>
      <c r="F876" s="7" t="s">
        <v>53</v>
      </c>
      <c r="G876" s="7"/>
    </row>
    <row r="877" ht="18" customHeight="1" spans="1:7">
      <c r="A877" s="7">
        <v>875</v>
      </c>
      <c r="B877" s="7" t="str">
        <f t="shared" si="60"/>
        <v>0402</v>
      </c>
      <c r="C877" s="7" t="s">
        <v>54</v>
      </c>
      <c r="D877" s="7" t="s">
        <v>52</v>
      </c>
      <c r="E877" s="7" t="str">
        <f>"林文云"</f>
        <v>林文云</v>
      </c>
      <c r="F877" s="7" t="s">
        <v>53</v>
      </c>
      <c r="G877" s="7"/>
    </row>
    <row r="878" ht="18" customHeight="1" spans="1:7">
      <c r="A878" s="7">
        <v>876</v>
      </c>
      <c r="B878" s="7" t="str">
        <f t="shared" si="60"/>
        <v>0402</v>
      </c>
      <c r="C878" s="7" t="s">
        <v>54</v>
      </c>
      <c r="D878" s="7" t="s">
        <v>52</v>
      </c>
      <c r="E878" s="7" t="str">
        <f>"张小珍"</f>
        <v>张小珍</v>
      </c>
      <c r="F878" s="7" t="s">
        <v>53</v>
      </c>
      <c r="G878" s="7"/>
    </row>
    <row r="879" ht="18" customHeight="1" spans="1:7">
      <c r="A879" s="7">
        <v>877</v>
      </c>
      <c r="B879" s="7" t="str">
        <f t="shared" si="60"/>
        <v>0402</v>
      </c>
      <c r="C879" s="7" t="s">
        <v>54</v>
      </c>
      <c r="D879" s="7" t="s">
        <v>52</v>
      </c>
      <c r="E879" s="7" t="str">
        <f>"聂晗宇"</f>
        <v>聂晗宇</v>
      </c>
      <c r="F879" s="7" t="s">
        <v>53</v>
      </c>
      <c r="G879" s="7"/>
    </row>
    <row r="880" ht="18" customHeight="1" spans="1:7">
      <c r="A880" s="7">
        <v>878</v>
      </c>
      <c r="B880" s="7" t="str">
        <f t="shared" si="60"/>
        <v>0402</v>
      </c>
      <c r="C880" s="7" t="s">
        <v>54</v>
      </c>
      <c r="D880" s="7" t="s">
        <v>52</v>
      </c>
      <c r="E880" s="7" t="str">
        <f>"王常州"</f>
        <v>王常州</v>
      </c>
      <c r="F880" s="7" t="s">
        <v>53</v>
      </c>
      <c r="G880" s="7"/>
    </row>
    <row r="881" ht="18" customHeight="1" spans="1:7">
      <c r="A881" s="7">
        <v>879</v>
      </c>
      <c r="B881" s="7" t="str">
        <f t="shared" si="60"/>
        <v>0402</v>
      </c>
      <c r="C881" s="7" t="s">
        <v>54</v>
      </c>
      <c r="D881" s="7" t="s">
        <v>52</v>
      </c>
      <c r="E881" s="7" t="str">
        <f>"麻力文"</f>
        <v>麻力文</v>
      </c>
      <c r="F881" s="7" t="s">
        <v>53</v>
      </c>
      <c r="G881" s="7"/>
    </row>
    <row r="882" ht="18" customHeight="1" spans="1:7">
      <c r="A882" s="7">
        <v>880</v>
      </c>
      <c r="B882" s="7" t="str">
        <f t="shared" si="60"/>
        <v>0402</v>
      </c>
      <c r="C882" s="7" t="s">
        <v>54</v>
      </c>
      <c r="D882" s="7" t="s">
        <v>52</v>
      </c>
      <c r="E882" s="7" t="str">
        <f>"符慧珍"</f>
        <v>符慧珍</v>
      </c>
      <c r="F882" s="7" t="s">
        <v>53</v>
      </c>
      <c r="G882" s="7"/>
    </row>
    <row r="883" ht="18" customHeight="1" spans="1:7">
      <c r="A883" s="7">
        <v>881</v>
      </c>
      <c r="B883" s="7" t="str">
        <f t="shared" si="60"/>
        <v>0402</v>
      </c>
      <c r="C883" s="7" t="s">
        <v>54</v>
      </c>
      <c r="D883" s="7" t="s">
        <v>52</v>
      </c>
      <c r="E883" s="7" t="str">
        <f>"符文雅"</f>
        <v>符文雅</v>
      </c>
      <c r="F883" s="7" t="s">
        <v>53</v>
      </c>
      <c r="G883" s="7"/>
    </row>
    <row r="884" ht="18" customHeight="1" spans="1:7">
      <c r="A884" s="7">
        <v>882</v>
      </c>
      <c r="B884" s="7" t="str">
        <f t="shared" si="60"/>
        <v>0402</v>
      </c>
      <c r="C884" s="7" t="s">
        <v>54</v>
      </c>
      <c r="D884" s="7" t="s">
        <v>52</v>
      </c>
      <c r="E884" s="7" t="str">
        <f>"李娅萍"</f>
        <v>李娅萍</v>
      </c>
      <c r="F884" s="7" t="s">
        <v>53</v>
      </c>
      <c r="G884" s="7"/>
    </row>
    <row r="885" ht="18" customHeight="1" spans="1:7">
      <c r="A885" s="7">
        <v>883</v>
      </c>
      <c r="B885" s="7" t="str">
        <f t="shared" si="60"/>
        <v>0402</v>
      </c>
      <c r="C885" s="7" t="s">
        <v>54</v>
      </c>
      <c r="D885" s="7" t="s">
        <v>52</v>
      </c>
      <c r="E885" s="7" t="str">
        <f>"景鑫"</f>
        <v>景鑫</v>
      </c>
      <c r="F885" s="7" t="s">
        <v>53</v>
      </c>
      <c r="G885" s="7"/>
    </row>
    <row r="886" ht="18" customHeight="1" spans="1:7">
      <c r="A886" s="7">
        <v>884</v>
      </c>
      <c r="B886" s="7" t="str">
        <f t="shared" si="60"/>
        <v>0402</v>
      </c>
      <c r="C886" s="7" t="s">
        <v>54</v>
      </c>
      <c r="D886" s="7" t="s">
        <v>52</v>
      </c>
      <c r="E886" s="7" t="str">
        <f>"王宏"</f>
        <v>王宏</v>
      </c>
      <c r="F886" s="7" t="s">
        <v>53</v>
      </c>
      <c r="G886" s="7"/>
    </row>
    <row r="887" ht="18" customHeight="1" spans="1:7">
      <c r="A887" s="7">
        <v>885</v>
      </c>
      <c r="B887" s="7" t="str">
        <f t="shared" si="60"/>
        <v>0402</v>
      </c>
      <c r="C887" s="7" t="s">
        <v>54</v>
      </c>
      <c r="D887" s="7" t="s">
        <v>52</v>
      </c>
      <c r="E887" s="7" t="str">
        <f>"陈柔"</f>
        <v>陈柔</v>
      </c>
      <c r="F887" s="7" t="s">
        <v>53</v>
      </c>
      <c r="G887" s="7"/>
    </row>
    <row r="888" ht="18" customHeight="1" spans="1:7">
      <c r="A888" s="7">
        <v>886</v>
      </c>
      <c r="B888" s="7" t="str">
        <f t="shared" si="60"/>
        <v>0402</v>
      </c>
      <c r="C888" s="7" t="s">
        <v>54</v>
      </c>
      <c r="D888" s="7" t="s">
        <v>52</v>
      </c>
      <c r="E888" s="7" t="str">
        <f>"余梦晓"</f>
        <v>余梦晓</v>
      </c>
      <c r="F888" s="7" t="s">
        <v>53</v>
      </c>
      <c r="G888" s="7"/>
    </row>
    <row r="889" ht="18" customHeight="1" spans="1:7">
      <c r="A889" s="7">
        <v>887</v>
      </c>
      <c r="B889" s="7" t="str">
        <f t="shared" si="60"/>
        <v>0402</v>
      </c>
      <c r="C889" s="7" t="s">
        <v>54</v>
      </c>
      <c r="D889" s="7" t="s">
        <v>52</v>
      </c>
      <c r="E889" s="7" t="str">
        <f>"曹睿智"</f>
        <v>曹睿智</v>
      </c>
      <c r="F889" s="7" t="s">
        <v>53</v>
      </c>
      <c r="G889" s="7"/>
    </row>
    <row r="890" ht="18" customHeight="1" spans="1:7">
      <c r="A890" s="7">
        <v>888</v>
      </c>
      <c r="B890" s="7" t="str">
        <f t="shared" si="60"/>
        <v>0402</v>
      </c>
      <c r="C890" s="7" t="s">
        <v>54</v>
      </c>
      <c r="D890" s="7" t="s">
        <v>52</v>
      </c>
      <c r="E890" s="7" t="str">
        <f>"林香"</f>
        <v>林香</v>
      </c>
      <c r="F890" s="7" t="s">
        <v>53</v>
      </c>
      <c r="G890" s="7"/>
    </row>
    <row r="891" ht="18" customHeight="1" spans="1:7">
      <c r="A891" s="7">
        <v>889</v>
      </c>
      <c r="B891" s="7" t="str">
        <f t="shared" si="60"/>
        <v>0402</v>
      </c>
      <c r="C891" s="7" t="s">
        <v>54</v>
      </c>
      <c r="D891" s="7" t="s">
        <v>52</v>
      </c>
      <c r="E891" s="7" t="str">
        <f>"林涛"</f>
        <v>林涛</v>
      </c>
      <c r="F891" s="7" t="s">
        <v>53</v>
      </c>
      <c r="G891" s="7"/>
    </row>
    <row r="892" ht="18" customHeight="1" spans="1:7">
      <c r="A892" s="7">
        <v>890</v>
      </c>
      <c r="B892" s="7" t="str">
        <f t="shared" si="60"/>
        <v>0402</v>
      </c>
      <c r="C892" s="7" t="s">
        <v>54</v>
      </c>
      <c r="D892" s="7" t="s">
        <v>52</v>
      </c>
      <c r="E892" s="7" t="str">
        <f>"周孟炎"</f>
        <v>周孟炎</v>
      </c>
      <c r="F892" s="7" t="s">
        <v>53</v>
      </c>
      <c r="G892" s="7"/>
    </row>
    <row r="893" ht="18" customHeight="1" spans="1:7">
      <c r="A893" s="7">
        <v>891</v>
      </c>
      <c r="B893" s="7" t="str">
        <f t="shared" si="60"/>
        <v>0402</v>
      </c>
      <c r="C893" s="7" t="s">
        <v>54</v>
      </c>
      <c r="D893" s="7" t="s">
        <v>52</v>
      </c>
      <c r="E893" s="7" t="str">
        <f>"梁朝娜"</f>
        <v>梁朝娜</v>
      </c>
      <c r="F893" s="7" t="s">
        <v>53</v>
      </c>
      <c r="G893" s="7"/>
    </row>
    <row r="894" ht="18" customHeight="1" spans="1:7">
      <c r="A894" s="7">
        <v>892</v>
      </c>
      <c r="B894" s="7" t="str">
        <f t="shared" si="60"/>
        <v>0402</v>
      </c>
      <c r="C894" s="7" t="s">
        <v>54</v>
      </c>
      <c r="D894" s="7" t="s">
        <v>52</v>
      </c>
      <c r="E894" s="7" t="str">
        <f>"刘悦"</f>
        <v>刘悦</v>
      </c>
      <c r="F894" s="7" t="s">
        <v>53</v>
      </c>
      <c r="G894" s="7"/>
    </row>
    <row r="895" ht="18" customHeight="1" spans="1:7">
      <c r="A895" s="7">
        <v>893</v>
      </c>
      <c r="B895" s="7" t="str">
        <f t="shared" ref="B895:B958" si="61">"0402"</f>
        <v>0402</v>
      </c>
      <c r="C895" s="7" t="s">
        <v>54</v>
      </c>
      <c r="D895" s="7" t="s">
        <v>52</v>
      </c>
      <c r="E895" s="7" t="str">
        <f>"孙源悦"</f>
        <v>孙源悦</v>
      </c>
      <c r="F895" s="7" t="s">
        <v>53</v>
      </c>
      <c r="G895" s="7"/>
    </row>
    <row r="896" ht="18" customHeight="1" spans="1:7">
      <c r="A896" s="7">
        <v>894</v>
      </c>
      <c r="B896" s="7" t="str">
        <f t="shared" si="61"/>
        <v>0402</v>
      </c>
      <c r="C896" s="7" t="s">
        <v>54</v>
      </c>
      <c r="D896" s="7" t="s">
        <v>52</v>
      </c>
      <c r="E896" s="7" t="str">
        <f>"傅行健"</f>
        <v>傅行健</v>
      </c>
      <c r="F896" s="7" t="s">
        <v>53</v>
      </c>
      <c r="G896" s="7"/>
    </row>
    <row r="897" ht="18" customHeight="1" spans="1:7">
      <c r="A897" s="7">
        <v>895</v>
      </c>
      <c r="B897" s="7" t="str">
        <f t="shared" si="61"/>
        <v>0402</v>
      </c>
      <c r="C897" s="7" t="s">
        <v>54</v>
      </c>
      <c r="D897" s="7" t="s">
        <v>52</v>
      </c>
      <c r="E897" s="7" t="str">
        <f>"王雯欣"</f>
        <v>王雯欣</v>
      </c>
      <c r="F897" s="7" t="s">
        <v>53</v>
      </c>
      <c r="G897" s="7"/>
    </row>
    <row r="898" ht="18" customHeight="1" spans="1:7">
      <c r="A898" s="7">
        <v>896</v>
      </c>
      <c r="B898" s="7" t="str">
        <f t="shared" si="61"/>
        <v>0402</v>
      </c>
      <c r="C898" s="7" t="s">
        <v>54</v>
      </c>
      <c r="D898" s="7" t="s">
        <v>52</v>
      </c>
      <c r="E898" s="7" t="str">
        <f>"郑佳雯"</f>
        <v>郑佳雯</v>
      </c>
      <c r="F898" s="7" t="s">
        <v>53</v>
      </c>
      <c r="G898" s="7"/>
    </row>
    <row r="899" ht="18" customHeight="1" spans="1:7">
      <c r="A899" s="7">
        <v>897</v>
      </c>
      <c r="B899" s="7" t="str">
        <f t="shared" si="61"/>
        <v>0402</v>
      </c>
      <c r="C899" s="7" t="s">
        <v>54</v>
      </c>
      <c r="D899" s="7" t="s">
        <v>52</v>
      </c>
      <c r="E899" s="7" t="str">
        <f>"王小康"</f>
        <v>王小康</v>
      </c>
      <c r="F899" s="7" t="s">
        <v>53</v>
      </c>
      <c r="G899" s="7"/>
    </row>
    <row r="900" ht="18" customHeight="1" spans="1:7">
      <c r="A900" s="7">
        <v>898</v>
      </c>
      <c r="B900" s="7" t="str">
        <f t="shared" si="61"/>
        <v>0402</v>
      </c>
      <c r="C900" s="7" t="s">
        <v>54</v>
      </c>
      <c r="D900" s="7" t="s">
        <v>52</v>
      </c>
      <c r="E900" s="7" t="str">
        <f>"邢礼贤"</f>
        <v>邢礼贤</v>
      </c>
      <c r="F900" s="7" t="s">
        <v>53</v>
      </c>
      <c r="G900" s="7"/>
    </row>
    <row r="901" ht="18" customHeight="1" spans="1:7">
      <c r="A901" s="7">
        <v>899</v>
      </c>
      <c r="B901" s="7" t="str">
        <f t="shared" si="61"/>
        <v>0402</v>
      </c>
      <c r="C901" s="7" t="s">
        <v>54</v>
      </c>
      <c r="D901" s="7" t="s">
        <v>52</v>
      </c>
      <c r="E901" s="7" t="str">
        <f>"赵皓明"</f>
        <v>赵皓明</v>
      </c>
      <c r="F901" s="7" t="s">
        <v>53</v>
      </c>
      <c r="G901" s="7"/>
    </row>
    <row r="902" ht="18" customHeight="1" spans="1:7">
      <c r="A902" s="7">
        <v>900</v>
      </c>
      <c r="B902" s="7" t="str">
        <f t="shared" si="61"/>
        <v>0402</v>
      </c>
      <c r="C902" s="7" t="s">
        <v>54</v>
      </c>
      <c r="D902" s="7" t="s">
        <v>52</v>
      </c>
      <c r="E902" s="7" t="str">
        <f>"张湘婕"</f>
        <v>张湘婕</v>
      </c>
      <c r="F902" s="7" t="s">
        <v>53</v>
      </c>
      <c r="G902" s="7"/>
    </row>
    <row r="903" ht="18" customHeight="1" spans="1:7">
      <c r="A903" s="7">
        <v>901</v>
      </c>
      <c r="B903" s="7" t="str">
        <f t="shared" si="61"/>
        <v>0402</v>
      </c>
      <c r="C903" s="7" t="s">
        <v>54</v>
      </c>
      <c r="D903" s="7" t="s">
        <v>52</v>
      </c>
      <c r="E903" s="7" t="str">
        <f>"潘东伟"</f>
        <v>潘东伟</v>
      </c>
      <c r="F903" s="7" t="s">
        <v>53</v>
      </c>
      <c r="G903" s="7"/>
    </row>
    <row r="904" ht="18" customHeight="1" spans="1:7">
      <c r="A904" s="7">
        <v>902</v>
      </c>
      <c r="B904" s="7" t="str">
        <f t="shared" si="61"/>
        <v>0402</v>
      </c>
      <c r="C904" s="7" t="s">
        <v>54</v>
      </c>
      <c r="D904" s="7" t="s">
        <v>52</v>
      </c>
      <c r="E904" s="7" t="str">
        <f>"马凯悦"</f>
        <v>马凯悦</v>
      </c>
      <c r="F904" s="7" t="s">
        <v>53</v>
      </c>
      <c r="G904" s="7"/>
    </row>
    <row r="905" ht="18" customHeight="1" spans="1:7">
      <c r="A905" s="7">
        <v>903</v>
      </c>
      <c r="B905" s="7" t="str">
        <f t="shared" si="61"/>
        <v>0402</v>
      </c>
      <c r="C905" s="7" t="s">
        <v>54</v>
      </c>
      <c r="D905" s="7" t="s">
        <v>52</v>
      </c>
      <c r="E905" s="7" t="str">
        <f>"洪丽秋"</f>
        <v>洪丽秋</v>
      </c>
      <c r="F905" s="7" t="s">
        <v>53</v>
      </c>
      <c r="G905" s="7"/>
    </row>
    <row r="906" ht="18" customHeight="1" spans="1:7">
      <c r="A906" s="7">
        <v>904</v>
      </c>
      <c r="B906" s="7" t="str">
        <f t="shared" si="61"/>
        <v>0402</v>
      </c>
      <c r="C906" s="7" t="s">
        <v>54</v>
      </c>
      <c r="D906" s="7" t="s">
        <v>52</v>
      </c>
      <c r="E906" s="7" t="str">
        <f>"米兰"</f>
        <v>米兰</v>
      </c>
      <c r="F906" s="7" t="s">
        <v>53</v>
      </c>
      <c r="G906" s="7"/>
    </row>
    <row r="907" ht="18" customHeight="1" spans="1:7">
      <c r="A907" s="7">
        <v>905</v>
      </c>
      <c r="B907" s="7" t="str">
        <f t="shared" si="61"/>
        <v>0402</v>
      </c>
      <c r="C907" s="7" t="s">
        <v>54</v>
      </c>
      <c r="D907" s="7" t="s">
        <v>52</v>
      </c>
      <c r="E907" s="7" t="str">
        <f>"王慧"</f>
        <v>王慧</v>
      </c>
      <c r="F907" s="7" t="s">
        <v>53</v>
      </c>
      <c r="G907" s="7"/>
    </row>
    <row r="908" ht="18" customHeight="1" spans="1:7">
      <c r="A908" s="7">
        <v>906</v>
      </c>
      <c r="B908" s="7" t="str">
        <f t="shared" si="61"/>
        <v>0402</v>
      </c>
      <c r="C908" s="7" t="s">
        <v>54</v>
      </c>
      <c r="D908" s="7" t="s">
        <v>52</v>
      </c>
      <c r="E908" s="7" t="str">
        <f>"张豆豆"</f>
        <v>张豆豆</v>
      </c>
      <c r="F908" s="7" t="s">
        <v>53</v>
      </c>
      <c r="G908" s="7"/>
    </row>
    <row r="909" ht="18" customHeight="1" spans="1:7">
      <c r="A909" s="7">
        <v>907</v>
      </c>
      <c r="B909" s="7" t="str">
        <f t="shared" si="61"/>
        <v>0402</v>
      </c>
      <c r="C909" s="7" t="s">
        <v>54</v>
      </c>
      <c r="D909" s="7" t="s">
        <v>52</v>
      </c>
      <c r="E909" s="7" t="str">
        <f>"史鸿儒"</f>
        <v>史鸿儒</v>
      </c>
      <c r="F909" s="7" t="s">
        <v>53</v>
      </c>
      <c r="G909" s="7"/>
    </row>
    <row r="910" ht="18" customHeight="1" spans="1:7">
      <c r="A910" s="7">
        <v>908</v>
      </c>
      <c r="B910" s="7" t="str">
        <f t="shared" si="61"/>
        <v>0402</v>
      </c>
      <c r="C910" s="7" t="s">
        <v>54</v>
      </c>
      <c r="D910" s="7" t="s">
        <v>52</v>
      </c>
      <c r="E910" s="7" t="str">
        <f>"宋洋"</f>
        <v>宋洋</v>
      </c>
      <c r="F910" s="7" t="s">
        <v>53</v>
      </c>
      <c r="G910" s="7"/>
    </row>
    <row r="911" ht="18" customHeight="1" spans="1:7">
      <c r="A911" s="7">
        <v>909</v>
      </c>
      <c r="B911" s="7" t="str">
        <f t="shared" si="61"/>
        <v>0402</v>
      </c>
      <c r="C911" s="7" t="s">
        <v>54</v>
      </c>
      <c r="D911" s="7" t="s">
        <v>52</v>
      </c>
      <c r="E911" s="7" t="str">
        <f>"王永梅"</f>
        <v>王永梅</v>
      </c>
      <c r="F911" s="7" t="s">
        <v>53</v>
      </c>
      <c r="G911" s="7"/>
    </row>
    <row r="912" ht="18" customHeight="1" spans="1:7">
      <c r="A912" s="7">
        <v>910</v>
      </c>
      <c r="B912" s="7" t="str">
        <f t="shared" si="61"/>
        <v>0402</v>
      </c>
      <c r="C912" s="7" t="s">
        <v>54</v>
      </c>
      <c r="D912" s="7" t="s">
        <v>52</v>
      </c>
      <c r="E912" s="7" t="str">
        <f>"李杨皓眸"</f>
        <v>李杨皓眸</v>
      </c>
      <c r="F912" s="7" t="s">
        <v>53</v>
      </c>
      <c r="G912" s="7"/>
    </row>
    <row r="913" ht="18" customHeight="1" spans="1:7">
      <c r="A913" s="7">
        <v>911</v>
      </c>
      <c r="B913" s="7" t="str">
        <f t="shared" si="61"/>
        <v>0402</v>
      </c>
      <c r="C913" s="7" t="s">
        <v>54</v>
      </c>
      <c r="D913" s="7" t="s">
        <v>52</v>
      </c>
      <c r="E913" s="7" t="str">
        <f>"秦壮"</f>
        <v>秦壮</v>
      </c>
      <c r="F913" s="7" t="s">
        <v>53</v>
      </c>
      <c r="G913" s="7"/>
    </row>
    <row r="914" ht="18" customHeight="1" spans="1:7">
      <c r="A914" s="7">
        <v>912</v>
      </c>
      <c r="B914" s="7" t="str">
        <f t="shared" si="61"/>
        <v>0402</v>
      </c>
      <c r="C914" s="7" t="s">
        <v>54</v>
      </c>
      <c r="D914" s="7" t="s">
        <v>52</v>
      </c>
      <c r="E914" s="7" t="str">
        <f>"李芳芳"</f>
        <v>李芳芳</v>
      </c>
      <c r="F914" s="7" t="s">
        <v>53</v>
      </c>
      <c r="G914" s="7"/>
    </row>
    <row r="915" ht="18" customHeight="1" spans="1:7">
      <c r="A915" s="7">
        <v>913</v>
      </c>
      <c r="B915" s="7" t="str">
        <f t="shared" si="61"/>
        <v>0402</v>
      </c>
      <c r="C915" s="7" t="s">
        <v>54</v>
      </c>
      <c r="D915" s="7" t="s">
        <v>52</v>
      </c>
      <c r="E915" s="7" t="str">
        <f>"季榕"</f>
        <v>季榕</v>
      </c>
      <c r="F915" s="7" t="s">
        <v>53</v>
      </c>
      <c r="G915" s="7"/>
    </row>
    <row r="916" ht="18" customHeight="1" spans="1:7">
      <c r="A916" s="7">
        <v>914</v>
      </c>
      <c r="B916" s="7" t="str">
        <f t="shared" si="61"/>
        <v>0402</v>
      </c>
      <c r="C916" s="7" t="s">
        <v>54</v>
      </c>
      <c r="D916" s="7" t="s">
        <v>52</v>
      </c>
      <c r="E916" s="7" t="str">
        <f>"蒲悦"</f>
        <v>蒲悦</v>
      </c>
      <c r="F916" s="7" t="s">
        <v>53</v>
      </c>
      <c r="G916" s="7"/>
    </row>
    <row r="917" ht="18" customHeight="1" spans="1:7">
      <c r="A917" s="7">
        <v>915</v>
      </c>
      <c r="B917" s="7" t="str">
        <f t="shared" si="61"/>
        <v>0402</v>
      </c>
      <c r="C917" s="7" t="s">
        <v>54</v>
      </c>
      <c r="D917" s="7" t="s">
        <v>52</v>
      </c>
      <c r="E917" s="7" t="str">
        <f>"房佳琪"</f>
        <v>房佳琪</v>
      </c>
      <c r="F917" s="7" t="s">
        <v>53</v>
      </c>
      <c r="G917" s="7"/>
    </row>
    <row r="918" ht="18" customHeight="1" spans="1:7">
      <c r="A918" s="7">
        <v>916</v>
      </c>
      <c r="B918" s="7" t="str">
        <f t="shared" si="61"/>
        <v>0402</v>
      </c>
      <c r="C918" s="7" t="s">
        <v>54</v>
      </c>
      <c r="D918" s="7" t="s">
        <v>52</v>
      </c>
      <c r="E918" s="7" t="str">
        <f>"杨静"</f>
        <v>杨静</v>
      </c>
      <c r="F918" s="7" t="s">
        <v>53</v>
      </c>
      <c r="G918" s="7"/>
    </row>
    <row r="919" ht="18" customHeight="1" spans="1:7">
      <c r="A919" s="7">
        <v>917</v>
      </c>
      <c r="B919" s="7" t="str">
        <f t="shared" si="61"/>
        <v>0402</v>
      </c>
      <c r="C919" s="7" t="s">
        <v>54</v>
      </c>
      <c r="D919" s="7" t="s">
        <v>52</v>
      </c>
      <c r="E919" s="7" t="str">
        <f>"吕尤佳"</f>
        <v>吕尤佳</v>
      </c>
      <c r="F919" s="7" t="s">
        <v>53</v>
      </c>
      <c r="G919" s="7"/>
    </row>
    <row r="920" ht="18" customHeight="1" spans="1:7">
      <c r="A920" s="7">
        <v>918</v>
      </c>
      <c r="B920" s="7" t="str">
        <f t="shared" si="61"/>
        <v>0402</v>
      </c>
      <c r="C920" s="7" t="s">
        <v>54</v>
      </c>
      <c r="D920" s="7" t="s">
        <v>52</v>
      </c>
      <c r="E920" s="7" t="str">
        <f>"杨朔"</f>
        <v>杨朔</v>
      </c>
      <c r="F920" s="7" t="s">
        <v>53</v>
      </c>
      <c r="G920" s="7"/>
    </row>
    <row r="921" ht="18" customHeight="1" spans="1:7">
      <c r="A921" s="7">
        <v>919</v>
      </c>
      <c r="B921" s="7" t="str">
        <f t="shared" si="61"/>
        <v>0402</v>
      </c>
      <c r="C921" s="7" t="s">
        <v>54</v>
      </c>
      <c r="D921" s="7" t="s">
        <v>52</v>
      </c>
      <c r="E921" s="9" t="str">
        <f>"林鑫"</f>
        <v>林鑫</v>
      </c>
      <c r="F921" s="7" t="s">
        <v>53</v>
      </c>
      <c r="G921" s="7" t="str">
        <f>"145627"</f>
        <v>145627</v>
      </c>
    </row>
    <row r="922" ht="18" customHeight="1" spans="1:7">
      <c r="A922" s="7">
        <v>920</v>
      </c>
      <c r="B922" s="7" t="str">
        <f t="shared" si="61"/>
        <v>0402</v>
      </c>
      <c r="C922" s="7" t="s">
        <v>54</v>
      </c>
      <c r="D922" s="7" t="s">
        <v>52</v>
      </c>
      <c r="E922" s="7" t="str">
        <f>"朱梦羚"</f>
        <v>朱梦羚</v>
      </c>
      <c r="F922" s="7" t="s">
        <v>53</v>
      </c>
      <c r="G922" s="7"/>
    </row>
    <row r="923" ht="18" customHeight="1" spans="1:7">
      <c r="A923" s="7">
        <v>921</v>
      </c>
      <c r="B923" s="7" t="str">
        <f t="shared" si="61"/>
        <v>0402</v>
      </c>
      <c r="C923" s="7" t="s">
        <v>54</v>
      </c>
      <c r="D923" s="7" t="s">
        <v>52</v>
      </c>
      <c r="E923" s="7" t="str">
        <f>"于思颖"</f>
        <v>于思颖</v>
      </c>
      <c r="F923" s="7" t="s">
        <v>53</v>
      </c>
      <c r="G923" s="7"/>
    </row>
    <row r="924" ht="18" customHeight="1" spans="1:7">
      <c r="A924" s="7">
        <v>922</v>
      </c>
      <c r="B924" s="7" t="str">
        <f t="shared" si="61"/>
        <v>0402</v>
      </c>
      <c r="C924" s="7" t="s">
        <v>54</v>
      </c>
      <c r="D924" s="7" t="s">
        <v>52</v>
      </c>
      <c r="E924" s="7" t="str">
        <f>"熊哲"</f>
        <v>熊哲</v>
      </c>
      <c r="F924" s="7" t="s">
        <v>53</v>
      </c>
      <c r="G924" s="7"/>
    </row>
    <row r="925" ht="18" customHeight="1" spans="1:7">
      <c r="A925" s="7">
        <v>923</v>
      </c>
      <c r="B925" s="7" t="str">
        <f t="shared" si="61"/>
        <v>0402</v>
      </c>
      <c r="C925" s="7" t="s">
        <v>54</v>
      </c>
      <c r="D925" s="7" t="s">
        <v>52</v>
      </c>
      <c r="E925" s="7" t="str">
        <f>"孟睿莹"</f>
        <v>孟睿莹</v>
      </c>
      <c r="F925" s="7" t="s">
        <v>53</v>
      </c>
      <c r="G925" s="7"/>
    </row>
    <row r="926" ht="18" customHeight="1" spans="1:7">
      <c r="A926" s="7">
        <v>924</v>
      </c>
      <c r="B926" s="7" t="str">
        <f t="shared" si="61"/>
        <v>0402</v>
      </c>
      <c r="C926" s="7" t="s">
        <v>54</v>
      </c>
      <c r="D926" s="7" t="s">
        <v>52</v>
      </c>
      <c r="E926" s="7" t="str">
        <f>"郭盼"</f>
        <v>郭盼</v>
      </c>
      <c r="F926" s="7" t="s">
        <v>53</v>
      </c>
      <c r="G926" s="7"/>
    </row>
    <row r="927" ht="18" customHeight="1" spans="1:7">
      <c r="A927" s="7">
        <v>925</v>
      </c>
      <c r="B927" s="7" t="str">
        <f t="shared" si="61"/>
        <v>0402</v>
      </c>
      <c r="C927" s="7" t="s">
        <v>54</v>
      </c>
      <c r="D927" s="7" t="s">
        <v>52</v>
      </c>
      <c r="E927" s="7" t="str">
        <f>"吴辰超"</f>
        <v>吴辰超</v>
      </c>
      <c r="F927" s="7" t="s">
        <v>53</v>
      </c>
      <c r="G927" s="7"/>
    </row>
    <row r="928" ht="18" customHeight="1" spans="1:7">
      <c r="A928" s="7">
        <v>926</v>
      </c>
      <c r="B928" s="7" t="str">
        <f t="shared" si="61"/>
        <v>0402</v>
      </c>
      <c r="C928" s="7" t="s">
        <v>54</v>
      </c>
      <c r="D928" s="7" t="s">
        <v>52</v>
      </c>
      <c r="E928" s="7" t="str">
        <f>"林明"</f>
        <v>林明</v>
      </c>
      <c r="F928" s="7" t="s">
        <v>53</v>
      </c>
      <c r="G928" s="7"/>
    </row>
    <row r="929" ht="18" customHeight="1" spans="1:7">
      <c r="A929" s="7">
        <v>927</v>
      </c>
      <c r="B929" s="7" t="str">
        <f t="shared" si="61"/>
        <v>0402</v>
      </c>
      <c r="C929" s="7" t="s">
        <v>54</v>
      </c>
      <c r="D929" s="7" t="s">
        <v>52</v>
      </c>
      <c r="E929" s="7" t="str">
        <f>"曹晓峰"</f>
        <v>曹晓峰</v>
      </c>
      <c r="F929" s="7" t="s">
        <v>53</v>
      </c>
      <c r="G929" s="7"/>
    </row>
    <row r="930" ht="18" customHeight="1" spans="1:7">
      <c r="A930" s="7">
        <v>928</v>
      </c>
      <c r="B930" s="7" t="str">
        <f t="shared" si="61"/>
        <v>0402</v>
      </c>
      <c r="C930" s="7" t="s">
        <v>54</v>
      </c>
      <c r="D930" s="7" t="s">
        <v>52</v>
      </c>
      <c r="E930" s="7" t="str">
        <f>"陈春曙"</f>
        <v>陈春曙</v>
      </c>
      <c r="F930" s="7" t="s">
        <v>53</v>
      </c>
      <c r="G930" s="7"/>
    </row>
    <row r="931" ht="18" customHeight="1" spans="1:7">
      <c r="A931" s="7">
        <v>929</v>
      </c>
      <c r="B931" s="7" t="str">
        <f t="shared" si="61"/>
        <v>0402</v>
      </c>
      <c r="C931" s="7" t="s">
        <v>54</v>
      </c>
      <c r="D931" s="7" t="s">
        <v>52</v>
      </c>
      <c r="E931" s="7" t="str">
        <f>"罗明悦"</f>
        <v>罗明悦</v>
      </c>
      <c r="F931" s="7" t="s">
        <v>53</v>
      </c>
      <c r="G931" s="7"/>
    </row>
    <row r="932" ht="18" customHeight="1" spans="1:7">
      <c r="A932" s="7">
        <v>930</v>
      </c>
      <c r="B932" s="7" t="str">
        <f t="shared" si="61"/>
        <v>0402</v>
      </c>
      <c r="C932" s="7" t="s">
        <v>54</v>
      </c>
      <c r="D932" s="7" t="s">
        <v>52</v>
      </c>
      <c r="E932" s="7" t="str">
        <f>"李青峰"</f>
        <v>李青峰</v>
      </c>
      <c r="F932" s="7" t="s">
        <v>53</v>
      </c>
      <c r="G932" s="7"/>
    </row>
    <row r="933" ht="18" customHeight="1" spans="1:7">
      <c r="A933" s="7">
        <v>931</v>
      </c>
      <c r="B933" s="7" t="str">
        <f t="shared" si="61"/>
        <v>0402</v>
      </c>
      <c r="C933" s="7" t="s">
        <v>54</v>
      </c>
      <c r="D933" s="7" t="s">
        <v>52</v>
      </c>
      <c r="E933" s="7" t="str">
        <f>"刘佳雯"</f>
        <v>刘佳雯</v>
      </c>
      <c r="F933" s="7" t="s">
        <v>53</v>
      </c>
      <c r="G933" s="7"/>
    </row>
    <row r="934" ht="18" customHeight="1" spans="1:7">
      <c r="A934" s="7">
        <v>932</v>
      </c>
      <c r="B934" s="7" t="str">
        <f t="shared" si="61"/>
        <v>0402</v>
      </c>
      <c r="C934" s="7" t="s">
        <v>54</v>
      </c>
      <c r="D934" s="7" t="s">
        <v>52</v>
      </c>
      <c r="E934" s="7" t="str">
        <f>"许润鸽"</f>
        <v>许润鸽</v>
      </c>
      <c r="F934" s="7" t="s">
        <v>53</v>
      </c>
      <c r="G934" s="7"/>
    </row>
    <row r="935" ht="18" customHeight="1" spans="1:7">
      <c r="A935" s="7">
        <v>933</v>
      </c>
      <c r="B935" s="7" t="str">
        <f t="shared" si="61"/>
        <v>0402</v>
      </c>
      <c r="C935" s="7" t="s">
        <v>54</v>
      </c>
      <c r="D935" s="7" t="s">
        <v>52</v>
      </c>
      <c r="E935" s="7" t="str">
        <f>"冯元哲"</f>
        <v>冯元哲</v>
      </c>
      <c r="F935" s="7" t="s">
        <v>53</v>
      </c>
      <c r="G935" s="7"/>
    </row>
    <row r="936" ht="18" customHeight="1" spans="1:7">
      <c r="A936" s="7">
        <v>934</v>
      </c>
      <c r="B936" s="7" t="str">
        <f t="shared" si="61"/>
        <v>0402</v>
      </c>
      <c r="C936" s="7" t="s">
        <v>54</v>
      </c>
      <c r="D936" s="7" t="s">
        <v>52</v>
      </c>
      <c r="E936" s="7" t="str">
        <f>"马晓雯"</f>
        <v>马晓雯</v>
      </c>
      <c r="F936" s="7" t="s">
        <v>53</v>
      </c>
      <c r="G936" s="7"/>
    </row>
    <row r="937" ht="18" customHeight="1" spans="1:7">
      <c r="A937" s="7">
        <v>935</v>
      </c>
      <c r="B937" s="7" t="str">
        <f t="shared" si="61"/>
        <v>0402</v>
      </c>
      <c r="C937" s="7" t="s">
        <v>54</v>
      </c>
      <c r="D937" s="7" t="s">
        <v>52</v>
      </c>
      <c r="E937" s="7" t="str">
        <f>"邓婷婷"</f>
        <v>邓婷婷</v>
      </c>
      <c r="F937" s="7" t="s">
        <v>53</v>
      </c>
      <c r="G937" s="7"/>
    </row>
    <row r="938" ht="18" customHeight="1" spans="1:7">
      <c r="A938" s="7">
        <v>936</v>
      </c>
      <c r="B938" s="7" t="str">
        <f t="shared" si="61"/>
        <v>0402</v>
      </c>
      <c r="C938" s="7" t="s">
        <v>54</v>
      </c>
      <c r="D938" s="7" t="s">
        <v>52</v>
      </c>
      <c r="E938" s="7" t="str">
        <f>"刘子钰"</f>
        <v>刘子钰</v>
      </c>
      <c r="F938" s="7" t="s">
        <v>53</v>
      </c>
      <c r="G938" s="7"/>
    </row>
    <row r="939" ht="18" customHeight="1" spans="1:7">
      <c r="A939" s="7">
        <v>937</v>
      </c>
      <c r="B939" s="7" t="str">
        <f t="shared" si="61"/>
        <v>0402</v>
      </c>
      <c r="C939" s="7" t="s">
        <v>54</v>
      </c>
      <c r="D939" s="7" t="s">
        <v>52</v>
      </c>
      <c r="E939" s="7" t="str">
        <f>"马阔"</f>
        <v>马阔</v>
      </c>
      <c r="F939" s="7" t="s">
        <v>53</v>
      </c>
      <c r="G939" s="7"/>
    </row>
    <row r="940" ht="18" customHeight="1" spans="1:7">
      <c r="A940" s="7">
        <v>938</v>
      </c>
      <c r="B940" s="7" t="str">
        <f t="shared" si="61"/>
        <v>0402</v>
      </c>
      <c r="C940" s="7" t="s">
        <v>54</v>
      </c>
      <c r="D940" s="7" t="s">
        <v>52</v>
      </c>
      <c r="E940" s="7" t="str">
        <f>"高启洁"</f>
        <v>高启洁</v>
      </c>
      <c r="F940" s="7" t="s">
        <v>53</v>
      </c>
      <c r="G940" s="7"/>
    </row>
    <row r="941" ht="18" customHeight="1" spans="1:7">
      <c r="A941" s="7">
        <v>939</v>
      </c>
      <c r="B941" s="7" t="str">
        <f t="shared" si="61"/>
        <v>0402</v>
      </c>
      <c r="C941" s="7" t="s">
        <v>54</v>
      </c>
      <c r="D941" s="7" t="s">
        <v>52</v>
      </c>
      <c r="E941" s="7" t="str">
        <f>"陈家鑫"</f>
        <v>陈家鑫</v>
      </c>
      <c r="F941" s="7" t="s">
        <v>53</v>
      </c>
      <c r="G941" s="7"/>
    </row>
    <row r="942" ht="18" customHeight="1" spans="1:7">
      <c r="A942" s="7">
        <v>940</v>
      </c>
      <c r="B942" s="7" t="str">
        <f t="shared" si="61"/>
        <v>0402</v>
      </c>
      <c r="C942" s="7" t="s">
        <v>54</v>
      </c>
      <c r="D942" s="7" t="s">
        <v>52</v>
      </c>
      <c r="E942" s="7" t="str">
        <f>"符谷晓"</f>
        <v>符谷晓</v>
      </c>
      <c r="F942" s="7" t="s">
        <v>53</v>
      </c>
      <c r="G942" s="7"/>
    </row>
    <row r="943" ht="18" customHeight="1" spans="1:7">
      <c r="A943" s="7">
        <v>941</v>
      </c>
      <c r="B943" s="7" t="str">
        <f t="shared" si="61"/>
        <v>0402</v>
      </c>
      <c r="C943" s="7" t="s">
        <v>54</v>
      </c>
      <c r="D943" s="7" t="s">
        <v>52</v>
      </c>
      <c r="E943" s="7" t="str">
        <f>"何蕤"</f>
        <v>何蕤</v>
      </c>
      <c r="F943" s="7" t="s">
        <v>53</v>
      </c>
      <c r="G943" s="7"/>
    </row>
    <row r="944" ht="18" customHeight="1" spans="1:7">
      <c r="A944" s="7">
        <v>942</v>
      </c>
      <c r="B944" s="7" t="str">
        <f t="shared" si="61"/>
        <v>0402</v>
      </c>
      <c r="C944" s="7" t="s">
        <v>54</v>
      </c>
      <c r="D944" s="7" t="s">
        <v>52</v>
      </c>
      <c r="E944" s="7" t="str">
        <f>"王杨"</f>
        <v>王杨</v>
      </c>
      <c r="F944" s="7" t="s">
        <v>53</v>
      </c>
      <c r="G944" s="7"/>
    </row>
    <row r="945" ht="18" customHeight="1" spans="1:7">
      <c r="A945" s="7">
        <v>943</v>
      </c>
      <c r="B945" s="7" t="str">
        <f t="shared" si="61"/>
        <v>0402</v>
      </c>
      <c r="C945" s="7" t="s">
        <v>54</v>
      </c>
      <c r="D945" s="7" t="s">
        <v>52</v>
      </c>
      <c r="E945" s="7" t="str">
        <f>"李泓深"</f>
        <v>李泓深</v>
      </c>
      <c r="F945" s="7" t="s">
        <v>53</v>
      </c>
      <c r="G945" s="7"/>
    </row>
    <row r="946" ht="18" customHeight="1" spans="1:7">
      <c r="A946" s="7">
        <v>944</v>
      </c>
      <c r="B946" s="7" t="str">
        <f t="shared" si="61"/>
        <v>0402</v>
      </c>
      <c r="C946" s="7" t="s">
        <v>54</v>
      </c>
      <c r="D946" s="7" t="s">
        <v>52</v>
      </c>
      <c r="E946" s="7" t="str">
        <f>"蒋丙翀"</f>
        <v>蒋丙翀</v>
      </c>
      <c r="F946" s="7" t="s">
        <v>53</v>
      </c>
      <c r="G946" s="7"/>
    </row>
    <row r="947" ht="18" customHeight="1" spans="1:7">
      <c r="A947" s="7">
        <v>945</v>
      </c>
      <c r="B947" s="7" t="str">
        <f t="shared" si="61"/>
        <v>0402</v>
      </c>
      <c r="C947" s="7" t="s">
        <v>54</v>
      </c>
      <c r="D947" s="7" t="s">
        <v>52</v>
      </c>
      <c r="E947" s="7" t="str">
        <f>"王炎"</f>
        <v>王炎</v>
      </c>
      <c r="F947" s="7" t="s">
        <v>53</v>
      </c>
      <c r="G947" s="7"/>
    </row>
    <row r="948" ht="18" customHeight="1" spans="1:7">
      <c r="A948" s="7">
        <v>946</v>
      </c>
      <c r="B948" s="7" t="str">
        <f t="shared" si="61"/>
        <v>0402</v>
      </c>
      <c r="C948" s="7" t="s">
        <v>54</v>
      </c>
      <c r="D948" s="7" t="s">
        <v>52</v>
      </c>
      <c r="E948" s="7" t="str">
        <f>"任爱"</f>
        <v>任爱</v>
      </c>
      <c r="F948" s="7" t="s">
        <v>53</v>
      </c>
      <c r="G948" s="7"/>
    </row>
    <row r="949" ht="18" customHeight="1" spans="1:7">
      <c r="A949" s="7">
        <v>947</v>
      </c>
      <c r="B949" s="7" t="str">
        <f t="shared" si="61"/>
        <v>0402</v>
      </c>
      <c r="C949" s="7" t="s">
        <v>54</v>
      </c>
      <c r="D949" s="7" t="s">
        <v>52</v>
      </c>
      <c r="E949" s="7" t="str">
        <f>"王晨阳"</f>
        <v>王晨阳</v>
      </c>
      <c r="F949" s="7" t="s">
        <v>53</v>
      </c>
      <c r="G949" s="7"/>
    </row>
    <row r="950" ht="18" customHeight="1" spans="1:7">
      <c r="A950" s="7">
        <v>948</v>
      </c>
      <c r="B950" s="7" t="str">
        <f t="shared" si="61"/>
        <v>0402</v>
      </c>
      <c r="C950" s="7" t="s">
        <v>54</v>
      </c>
      <c r="D950" s="7" t="s">
        <v>52</v>
      </c>
      <c r="E950" s="7" t="str">
        <f>"谷淅梦"</f>
        <v>谷淅梦</v>
      </c>
      <c r="F950" s="7" t="s">
        <v>53</v>
      </c>
      <c r="G950" s="7"/>
    </row>
    <row r="951" ht="18" customHeight="1" spans="1:7">
      <c r="A951" s="7">
        <v>949</v>
      </c>
      <c r="B951" s="7" t="str">
        <f t="shared" si="61"/>
        <v>0402</v>
      </c>
      <c r="C951" s="7" t="s">
        <v>54</v>
      </c>
      <c r="D951" s="7" t="s">
        <v>52</v>
      </c>
      <c r="E951" s="7" t="str">
        <f>"陶广萍"</f>
        <v>陶广萍</v>
      </c>
      <c r="F951" s="7" t="s">
        <v>53</v>
      </c>
      <c r="G951" s="7"/>
    </row>
    <row r="952" ht="18" customHeight="1" spans="1:7">
      <c r="A952" s="7">
        <v>950</v>
      </c>
      <c r="B952" s="7" t="str">
        <f t="shared" si="61"/>
        <v>0402</v>
      </c>
      <c r="C952" s="7" t="s">
        <v>54</v>
      </c>
      <c r="D952" s="7" t="s">
        <v>52</v>
      </c>
      <c r="E952" s="7" t="str">
        <f>"唐小妹"</f>
        <v>唐小妹</v>
      </c>
      <c r="F952" s="7" t="s">
        <v>53</v>
      </c>
      <c r="G952" s="7"/>
    </row>
    <row r="953" ht="18" customHeight="1" spans="1:7">
      <c r="A953" s="7">
        <v>951</v>
      </c>
      <c r="B953" s="7" t="str">
        <f t="shared" si="61"/>
        <v>0402</v>
      </c>
      <c r="C953" s="7" t="s">
        <v>54</v>
      </c>
      <c r="D953" s="7" t="s">
        <v>52</v>
      </c>
      <c r="E953" s="7" t="str">
        <f>"陈泽珠"</f>
        <v>陈泽珠</v>
      </c>
      <c r="F953" s="7" t="s">
        <v>53</v>
      </c>
      <c r="G953" s="7"/>
    </row>
    <row r="954" ht="18" customHeight="1" spans="1:7">
      <c r="A954" s="7">
        <v>952</v>
      </c>
      <c r="B954" s="7" t="str">
        <f t="shared" si="61"/>
        <v>0402</v>
      </c>
      <c r="C954" s="7" t="s">
        <v>54</v>
      </c>
      <c r="D954" s="7" t="s">
        <v>52</v>
      </c>
      <c r="E954" s="7" t="str">
        <f>"杨格雅"</f>
        <v>杨格雅</v>
      </c>
      <c r="F954" s="7" t="s">
        <v>53</v>
      </c>
      <c r="G954" s="7"/>
    </row>
    <row r="955" ht="18" customHeight="1" spans="1:7">
      <c r="A955" s="7">
        <v>953</v>
      </c>
      <c r="B955" s="7" t="str">
        <f t="shared" si="61"/>
        <v>0402</v>
      </c>
      <c r="C955" s="7" t="s">
        <v>54</v>
      </c>
      <c r="D955" s="7" t="s">
        <v>52</v>
      </c>
      <c r="E955" s="7" t="str">
        <f>"张芃芃"</f>
        <v>张芃芃</v>
      </c>
      <c r="F955" s="7" t="s">
        <v>53</v>
      </c>
      <c r="G955" s="7"/>
    </row>
    <row r="956" ht="18" customHeight="1" spans="1:7">
      <c r="A956" s="7">
        <v>954</v>
      </c>
      <c r="B956" s="7" t="str">
        <f t="shared" si="61"/>
        <v>0402</v>
      </c>
      <c r="C956" s="7" t="s">
        <v>54</v>
      </c>
      <c r="D956" s="7" t="s">
        <v>52</v>
      </c>
      <c r="E956" s="7" t="str">
        <f>"林玉"</f>
        <v>林玉</v>
      </c>
      <c r="F956" s="7" t="s">
        <v>53</v>
      </c>
      <c r="G956" s="7"/>
    </row>
    <row r="957" ht="18" customHeight="1" spans="1:7">
      <c r="A957" s="7">
        <v>955</v>
      </c>
      <c r="B957" s="7" t="str">
        <f t="shared" si="61"/>
        <v>0402</v>
      </c>
      <c r="C957" s="7" t="s">
        <v>54</v>
      </c>
      <c r="D957" s="7" t="s">
        <v>52</v>
      </c>
      <c r="E957" s="7" t="str">
        <f>"陈雪柔"</f>
        <v>陈雪柔</v>
      </c>
      <c r="F957" s="7" t="s">
        <v>53</v>
      </c>
      <c r="G957" s="7"/>
    </row>
    <row r="958" ht="18" customHeight="1" spans="1:7">
      <c r="A958" s="7">
        <v>956</v>
      </c>
      <c r="B958" s="7" t="str">
        <f t="shared" si="61"/>
        <v>0402</v>
      </c>
      <c r="C958" s="7" t="s">
        <v>54</v>
      </c>
      <c r="D958" s="7" t="s">
        <v>52</v>
      </c>
      <c r="E958" s="7" t="str">
        <f>"田静"</f>
        <v>田静</v>
      </c>
      <c r="F958" s="7" t="s">
        <v>53</v>
      </c>
      <c r="G958" s="7"/>
    </row>
    <row r="959" ht="18" customHeight="1" spans="1:7">
      <c r="A959" s="7">
        <v>957</v>
      </c>
      <c r="B959" s="7" t="str">
        <f t="shared" ref="B959:B1022" si="62">"0402"</f>
        <v>0402</v>
      </c>
      <c r="C959" s="7" t="s">
        <v>54</v>
      </c>
      <c r="D959" s="7" t="s">
        <v>52</v>
      </c>
      <c r="E959" s="7" t="str">
        <f>"吴昊岭"</f>
        <v>吴昊岭</v>
      </c>
      <c r="F959" s="7" t="s">
        <v>53</v>
      </c>
      <c r="G959" s="7"/>
    </row>
    <row r="960" ht="18" customHeight="1" spans="1:7">
      <c r="A960" s="7">
        <v>958</v>
      </c>
      <c r="B960" s="7" t="str">
        <f t="shared" si="62"/>
        <v>0402</v>
      </c>
      <c r="C960" s="7" t="s">
        <v>54</v>
      </c>
      <c r="D960" s="7" t="s">
        <v>52</v>
      </c>
      <c r="E960" s="7" t="str">
        <f>"叶露露"</f>
        <v>叶露露</v>
      </c>
      <c r="F960" s="7" t="s">
        <v>53</v>
      </c>
      <c r="G960" s="7"/>
    </row>
    <row r="961" ht="18" customHeight="1" spans="1:7">
      <c r="A961" s="7">
        <v>959</v>
      </c>
      <c r="B961" s="7" t="str">
        <f t="shared" si="62"/>
        <v>0402</v>
      </c>
      <c r="C961" s="7" t="s">
        <v>54</v>
      </c>
      <c r="D961" s="7" t="s">
        <v>52</v>
      </c>
      <c r="E961" s="7" t="str">
        <f>"隆艳"</f>
        <v>隆艳</v>
      </c>
      <c r="F961" s="7" t="s">
        <v>53</v>
      </c>
      <c r="G961" s="7"/>
    </row>
    <row r="962" ht="18" customHeight="1" spans="1:7">
      <c r="A962" s="7">
        <v>960</v>
      </c>
      <c r="B962" s="7" t="str">
        <f t="shared" si="62"/>
        <v>0402</v>
      </c>
      <c r="C962" s="7" t="s">
        <v>54</v>
      </c>
      <c r="D962" s="7" t="s">
        <v>52</v>
      </c>
      <c r="E962" s="7" t="str">
        <f>"王东慧"</f>
        <v>王东慧</v>
      </c>
      <c r="F962" s="7" t="s">
        <v>53</v>
      </c>
      <c r="G962" s="7"/>
    </row>
    <row r="963" ht="18" customHeight="1" spans="1:7">
      <c r="A963" s="7">
        <v>961</v>
      </c>
      <c r="B963" s="7" t="str">
        <f t="shared" si="62"/>
        <v>0402</v>
      </c>
      <c r="C963" s="7" t="s">
        <v>54</v>
      </c>
      <c r="D963" s="7" t="s">
        <v>52</v>
      </c>
      <c r="E963" s="7" t="str">
        <f>"杨琳"</f>
        <v>杨琳</v>
      </c>
      <c r="F963" s="7" t="s">
        <v>53</v>
      </c>
      <c r="G963" s="7"/>
    </row>
    <row r="964" ht="18" customHeight="1" spans="1:7">
      <c r="A964" s="7">
        <v>962</v>
      </c>
      <c r="B964" s="7" t="str">
        <f t="shared" si="62"/>
        <v>0402</v>
      </c>
      <c r="C964" s="7" t="s">
        <v>54</v>
      </c>
      <c r="D964" s="7" t="s">
        <v>52</v>
      </c>
      <c r="E964" s="7" t="str">
        <f>"黄妹玉"</f>
        <v>黄妹玉</v>
      </c>
      <c r="F964" s="7" t="s">
        <v>53</v>
      </c>
      <c r="G964" s="7"/>
    </row>
    <row r="965" ht="18" customHeight="1" spans="1:7">
      <c r="A965" s="7">
        <v>963</v>
      </c>
      <c r="B965" s="7" t="str">
        <f t="shared" si="62"/>
        <v>0402</v>
      </c>
      <c r="C965" s="7" t="s">
        <v>54</v>
      </c>
      <c r="D965" s="7" t="s">
        <v>52</v>
      </c>
      <c r="E965" s="7" t="str">
        <f>"林瑞嫦"</f>
        <v>林瑞嫦</v>
      </c>
      <c r="F965" s="7" t="s">
        <v>53</v>
      </c>
      <c r="G965" s="7"/>
    </row>
    <row r="966" ht="18" customHeight="1" spans="1:7">
      <c r="A966" s="7">
        <v>964</v>
      </c>
      <c r="B966" s="7" t="str">
        <f t="shared" si="62"/>
        <v>0402</v>
      </c>
      <c r="C966" s="7" t="s">
        <v>54</v>
      </c>
      <c r="D966" s="7" t="s">
        <v>52</v>
      </c>
      <c r="E966" s="7" t="str">
        <f>"董月娥"</f>
        <v>董月娥</v>
      </c>
      <c r="F966" s="7" t="s">
        <v>53</v>
      </c>
      <c r="G966" s="7"/>
    </row>
    <row r="967" ht="18" customHeight="1" spans="1:7">
      <c r="A967" s="7">
        <v>965</v>
      </c>
      <c r="B967" s="7" t="str">
        <f t="shared" si="62"/>
        <v>0402</v>
      </c>
      <c r="C967" s="7" t="s">
        <v>54</v>
      </c>
      <c r="D967" s="7" t="s">
        <v>52</v>
      </c>
      <c r="E967" s="7" t="str">
        <f>"赵宇萌"</f>
        <v>赵宇萌</v>
      </c>
      <c r="F967" s="7" t="s">
        <v>53</v>
      </c>
      <c r="G967" s="7"/>
    </row>
    <row r="968" ht="18" customHeight="1" spans="1:7">
      <c r="A968" s="7">
        <v>966</v>
      </c>
      <c r="B968" s="7" t="str">
        <f t="shared" si="62"/>
        <v>0402</v>
      </c>
      <c r="C968" s="7" t="s">
        <v>54</v>
      </c>
      <c r="D968" s="7" t="s">
        <v>52</v>
      </c>
      <c r="E968" s="7" t="str">
        <f>"陈姑"</f>
        <v>陈姑</v>
      </c>
      <c r="F968" s="7" t="s">
        <v>53</v>
      </c>
      <c r="G968" s="7"/>
    </row>
    <row r="969" ht="18" customHeight="1" spans="1:7">
      <c r="A969" s="7">
        <v>967</v>
      </c>
      <c r="B969" s="7" t="str">
        <f t="shared" si="62"/>
        <v>0402</v>
      </c>
      <c r="C969" s="7" t="s">
        <v>54</v>
      </c>
      <c r="D969" s="7" t="s">
        <v>52</v>
      </c>
      <c r="E969" s="7" t="str">
        <f>"曹云"</f>
        <v>曹云</v>
      </c>
      <c r="F969" s="7" t="s">
        <v>53</v>
      </c>
      <c r="G969" s="7"/>
    </row>
    <row r="970" ht="18" customHeight="1" spans="1:7">
      <c r="A970" s="7">
        <v>968</v>
      </c>
      <c r="B970" s="7" t="str">
        <f t="shared" si="62"/>
        <v>0402</v>
      </c>
      <c r="C970" s="7" t="s">
        <v>54</v>
      </c>
      <c r="D970" s="7" t="s">
        <v>52</v>
      </c>
      <c r="E970" s="7" t="str">
        <f>"符春秀"</f>
        <v>符春秀</v>
      </c>
      <c r="F970" s="7" t="s">
        <v>53</v>
      </c>
      <c r="G970" s="7"/>
    </row>
    <row r="971" ht="18" customHeight="1" spans="1:7">
      <c r="A971" s="7">
        <v>969</v>
      </c>
      <c r="B971" s="7" t="str">
        <f t="shared" si="62"/>
        <v>0402</v>
      </c>
      <c r="C971" s="7" t="s">
        <v>54</v>
      </c>
      <c r="D971" s="7" t="s">
        <v>52</v>
      </c>
      <c r="E971" s="7" t="str">
        <f>"吴川"</f>
        <v>吴川</v>
      </c>
      <c r="F971" s="7" t="s">
        <v>53</v>
      </c>
      <c r="G971" s="7"/>
    </row>
    <row r="972" ht="18" customHeight="1" spans="1:7">
      <c r="A972" s="7">
        <v>970</v>
      </c>
      <c r="B972" s="7" t="str">
        <f t="shared" si="62"/>
        <v>0402</v>
      </c>
      <c r="C972" s="7" t="s">
        <v>54</v>
      </c>
      <c r="D972" s="7" t="s">
        <v>52</v>
      </c>
      <c r="E972" s="7" t="str">
        <f>"王雷雨"</f>
        <v>王雷雨</v>
      </c>
      <c r="F972" s="7" t="s">
        <v>53</v>
      </c>
      <c r="G972" s="7"/>
    </row>
    <row r="973" ht="18" customHeight="1" spans="1:7">
      <c r="A973" s="7">
        <v>971</v>
      </c>
      <c r="B973" s="7" t="str">
        <f t="shared" si="62"/>
        <v>0402</v>
      </c>
      <c r="C973" s="7" t="s">
        <v>54</v>
      </c>
      <c r="D973" s="7" t="s">
        <v>52</v>
      </c>
      <c r="E973" s="7" t="str">
        <f>"许瑞"</f>
        <v>许瑞</v>
      </c>
      <c r="F973" s="7" t="s">
        <v>53</v>
      </c>
      <c r="G973" s="7"/>
    </row>
    <row r="974" ht="18" customHeight="1" spans="1:7">
      <c r="A974" s="7">
        <v>972</v>
      </c>
      <c r="B974" s="7" t="str">
        <f t="shared" si="62"/>
        <v>0402</v>
      </c>
      <c r="C974" s="7" t="s">
        <v>54</v>
      </c>
      <c r="D974" s="7" t="s">
        <v>52</v>
      </c>
      <c r="E974" s="7" t="str">
        <f>"王芳"</f>
        <v>王芳</v>
      </c>
      <c r="F974" s="7" t="s">
        <v>53</v>
      </c>
      <c r="G974" s="7"/>
    </row>
    <row r="975" ht="18" customHeight="1" spans="1:7">
      <c r="A975" s="7">
        <v>973</v>
      </c>
      <c r="B975" s="7" t="str">
        <f t="shared" si="62"/>
        <v>0402</v>
      </c>
      <c r="C975" s="7" t="s">
        <v>54</v>
      </c>
      <c r="D975" s="7" t="s">
        <v>52</v>
      </c>
      <c r="E975" s="7" t="str">
        <f>"文小玲"</f>
        <v>文小玲</v>
      </c>
      <c r="F975" s="7" t="s">
        <v>53</v>
      </c>
      <c r="G975" s="7"/>
    </row>
    <row r="976" ht="18" customHeight="1" spans="1:7">
      <c r="A976" s="7">
        <v>974</v>
      </c>
      <c r="B976" s="7" t="str">
        <f t="shared" si="62"/>
        <v>0402</v>
      </c>
      <c r="C976" s="7" t="s">
        <v>54</v>
      </c>
      <c r="D976" s="7" t="s">
        <v>52</v>
      </c>
      <c r="E976" s="7" t="str">
        <f>"张鑫岩"</f>
        <v>张鑫岩</v>
      </c>
      <c r="F976" s="7" t="s">
        <v>53</v>
      </c>
      <c r="G976" s="7"/>
    </row>
    <row r="977" ht="18" customHeight="1" spans="1:7">
      <c r="A977" s="7">
        <v>975</v>
      </c>
      <c r="B977" s="7" t="str">
        <f t="shared" si="62"/>
        <v>0402</v>
      </c>
      <c r="C977" s="7" t="s">
        <v>54</v>
      </c>
      <c r="D977" s="7" t="s">
        <v>52</v>
      </c>
      <c r="E977" s="7" t="str">
        <f>"徐升文"</f>
        <v>徐升文</v>
      </c>
      <c r="F977" s="7" t="s">
        <v>53</v>
      </c>
      <c r="G977" s="7"/>
    </row>
    <row r="978" ht="18" customHeight="1" spans="1:7">
      <c r="A978" s="7">
        <v>976</v>
      </c>
      <c r="B978" s="7" t="str">
        <f t="shared" si="62"/>
        <v>0402</v>
      </c>
      <c r="C978" s="7" t="s">
        <v>54</v>
      </c>
      <c r="D978" s="7" t="s">
        <v>52</v>
      </c>
      <c r="E978" s="7" t="str">
        <f>"于洋"</f>
        <v>于洋</v>
      </c>
      <c r="F978" s="7" t="s">
        <v>53</v>
      </c>
      <c r="G978" s="7"/>
    </row>
    <row r="979" ht="18" customHeight="1" spans="1:7">
      <c r="A979" s="7">
        <v>977</v>
      </c>
      <c r="B979" s="7" t="str">
        <f t="shared" si="62"/>
        <v>0402</v>
      </c>
      <c r="C979" s="7" t="s">
        <v>54</v>
      </c>
      <c r="D979" s="7" t="s">
        <v>52</v>
      </c>
      <c r="E979" s="7" t="str">
        <f>"陈文琳"</f>
        <v>陈文琳</v>
      </c>
      <c r="F979" s="7" t="s">
        <v>53</v>
      </c>
      <c r="G979" s="7"/>
    </row>
    <row r="980" ht="18" customHeight="1" spans="1:7">
      <c r="A980" s="7">
        <v>978</v>
      </c>
      <c r="B980" s="7" t="str">
        <f t="shared" si="62"/>
        <v>0402</v>
      </c>
      <c r="C980" s="7" t="s">
        <v>54</v>
      </c>
      <c r="D980" s="7" t="s">
        <v>52</v>
      </c>
      <c r="E980" s="7" t="str">
        <f>"马梦瑶"</f>
        <v>马梦瑶</v>
      </c>
      <c r="F980" s="7" t="s">
        <v>53</v>
      </c>
      <c r="G980" s="7"/>
    </row>
    <row r="981" ht="18" customHeight="1" spans="1:7">
      <c r="A981" s="7">
        <v>979</v>
      </c>
      <c r="B981" s="7" t="str">
        <f t="shared" si="62"/>
        <v>0402</v>
      </c>
      <c r="C981" s="7" t="s">
        <v>54</v>
      </c>
      <c r="D981" s="7" t="s">
        <v>52</v>
      </c>
      <c r="E981" s="7" t="str">
        <f>"朱晶"</f>
        <v>朱晶</v>
      </c>
      <c r="F981" s="7" t="s">
        <v>53</v>
      </c>
      <c r="G981" s="7"/>
    </row>
    <row r="982" ht="18" customHeight="1" spans="1:7">
      <c r="A982" s="7">
        <v>980</v>
      </c>
      <c r="B982" s="7" t="str">
        <f t="shared" si="62"/>
        <v>0402</v>
      </c>
      <c r="C982" s="7" t="s">
        <v>54</v>
      </c>
      <c r="D982" s="7" t="s">
        <v>52</v>
      </c>
      <c r="E982" s="7" t="str">
        <f>"赵泽波"</f>
        <v>赵泽波</v>
      </c>
      <c r="F982" s="7" t="s">
        <v>53</v>
      </c>
      <c r="G982" s="7"/>
    </row>
    <row r="983" ht="18" customHeight="1" spans="1:7">
      <c r="A983" s="7">
        <v>981</v>
      </c>
      <c r="B983" s="7" t="str">
        <f t="shared" si="62"/>
        <v>0402</v>
      </c>
      <c r="C983" s="7" t="s">
        <v>54</v>
      </c>
      <c r="D983" s="7" t="s">
        <v>52</v>
      </c>
      <c r="E983" s="7" t="str">
        <f>"曾尾女"</f>
        <v>曾尾女</v>
      </c>
      <c r="F983" s="7" t="s">
        <v>53</v>
      </c>
      <c r="G983" s="7"/>
    </row>
    <row r="984" ht="18" customHeight="1" spans="1:7">
      <c r="A984" s="7">
        <v>982</v>
      </c>
      <c r="B984" s="7" t="str">
        <f t="shared" si="62"/>
        <v>0402</v>
      </c>
      <c r="C984" s="7" t="s">
        <v>54</v>
      </c>
      <c r="D984" s="7" t="s">
        <v>52</v>
      </c>
      <c r="E984" s="7" t="str">
        <f>"杨子柔"</f>
        <v>杨子柔</v>
      </c>
      <c r="F984" s="7" t="s">
        <v>53</v>
      </c>
      <c r="G984" s="7"/>
    </row>
    <row r="985" ht="18" customHeight="1" spans="1:7">
      <c r="A985" s="7">
        <v>983</v>
      </c>
      <c r="B985" s="7" t="str">
        <f t="shared" si="62"/>
        <v>0402</v>
      </c>
      <c r="C985" s="7" t="s">
        <v>54</v>
      </c>
      <c r="D985" s="7" t="s">
        <v>52</v>
      </c>
      <c r="E985" s="7" t="str">
        <f>"鲁春雨"</f>
        <v>鲁春雨</v>
      </c>
      <c r="F985" s="7" t="s">
        <v>53</v>
      </c>
      <c r="G985" s="7"/>
    </row>
    <row r="986" ht="18" customHeight="1" spans="1:7">
      <c r="A986" s="7">
        <v>984</v>
      </c>
      <c r="B986" s="7" t="str">
        <f t="shared" si="62"/>
        <v>0402</v>
      </c>
      <c r="C986" s="7" t="s">
        <v>54</v>
      </c>
      <c r="D986" s="7" t="s">
        <v>52</v>
      </c>
      <c r="E986" s="7" t="str">
        <f>"李富杰"</f>
        <v>李富杰</v>
      </c>
      <c r="F986" s="7" t="s">
        <v>53</v>
      </c>
      <c r="G986" s="7"/>
    </row>
    <row r="987" ht="18" customHeight="1" spans="1:7">
      <c r="A987" s="7">
        <v>985</v>
      </c>
      <c r="B987" s="7" t="str">
        <f t="shared" si="62"/>
        <v>0402</v>
      </c>
      <c r="C987" s="7" t="s">
        <v>54</v>
      </c>
      <c r="D987" s="7" t="s">
        <v>52</v>
      </c>
      <c r="E987" s="7" t="str">
        <f>"靳倩伶"</f>
        <v>靳倩伶</v>
      </c>
      <c r="F987" s="7" t="s">
        <v>53</v>
      </c>
      <c r="G987" s="7"/>
    </row>
    <row r="988" ht="18" customHeight="1" spans="1:7">
      <c r="A988" s="7">
        <v>986</v>
      </c>
      <c r="B988" s="7" t="str">
        <f t="shared" si="62"/>
        <v>0402</v>
      </c>
      <c r="C988" s="7" t="s">
        <v>54</v>
      </c>
      <c r="D988" s="7" t="s">
        <v>52</v>
      </c>
      <c r="E988" s="7" t="str">
        <f>"薛丹妮"</f>
        <v>薛丹妮</v>
      </c>
      <c r="F988" s="7" t="s">
        <v>53</v>
      </c>
      <c r="G988" s="7"/>
    </row>
    <row r="989" ht="18" customHeight="1" spans="1:7">
      <c r="A989" s="7">
        <v>987</v>
      </c>
      <c r="B989" s="7" t="str">
        <f t="shared" si="62"/>
        <v>0402</v>
      </c>
      <c r="C989" s="7" t="s">
        <v>54</v>
      </c>
      <c r="D989" s="7" t="s">
        <v>52</v>
      </c>
      <c r="E989" s="7" t="str">
        <f>"符德坤"</f>
        <v>符德坤</v>
      </c>
      <c r="F989" s="7" t="s">
        <v>53</v>
      </c>
      <c r="G989" s="7"/>
    </row>
    <row r="990" ht="18" customHeight="1" spans="1:7">
      <c r="A990" s="7">
        <v>988</v>
      </c>
      <c r="B990" s="7" t="str">
        <f t="shared" si="62"/>
        <v>0402</v>
      </c>
      <c r="C990" s="7" t="s">
        <v>54</v>
      </c>
      <c r="D990" s="7" t="s">
        <v>52</v>
      </c>
      <c r="E990" s="7" t="str">
        <f>"周海琴"</f>
        <v>周海琴</v>
      </c>
      <c r="F990" s="7" t="s">
        <v>53</v>
      </c>
      <c r="G990" s="7"/>
    </row>
    <row r="991" ht="18" customHeight="1" spans="1:7">
      <c r="A991" s="7">
        <v>989</v>
      </c>
      <c r="B991" s="7" t="str">
        <f t="shared" si="62"/>
        <v>0402</v>
      </c>
      <c r="C991" s="7" t="s">
        <v>54</v>
      </c>
      <c r="D991" s="7" t="s">
        <v>52</v>
      </c>
      <c r="E991" s="7" t="str">
        <f>"李小苗"</f>
        <v>李小苗</v>
      </c>
      <c r="F991" s="7" t="s">
        <v>53</v>
      </c>
      <c r="G991" s="7"/>
    </row>
    <row r="992" ht="18" customHeight="1" spans="1:7">
      <c r="A992" s="7">
        <v>990</v>
      </c>
      <c r="B992" s="7" t="str">
        <f t="shared" si="62"/>
        <v>0402</v>
      </c>
      <c r="C992" s="7" t="s">
        <v>54</v>
      </c>
      <c r="D992" s="7" t="s">
        <v>52</v>
      </c>
      <c r="E992" s="7" t="str">
        <f>"齐鑫敏"</f>
        <v>齐鑫敏</v>
      </c>
      <c r="F992" s="7" t="s">
        <v>53</v>
      </c>
      <c r="G992" s="7"/>
    </row>
    <row r="993" ht="18" customHeight="1" spans="1:7">
      <c r="A993" s="7">
        <v>991</v>
      </c>
      <c r="B993" s="7" t="str">
        <f t="shared" si="62"/>
        <v>0402</v>
      </c>
      <c r="C993" s="7" t="s">
        <v>54</v>
      </c>
      <c r="D993" s="7" t="s">
        <v>52</v>
      </c>
      <c r="E993" s="7" t="str">
        <f>"林眉儿"</f>
        <v>林眉儿</v>
      </c>
      <c r="F993" s="7" t="s">
        <v>53</v>
      </c>
      <c r="G993" s="7"/>
    </row>
    <row r="994" ht="18" customHeight="1" spans="1:7">
      <c r="A994" s="7">
        <v>992</v>
      </c>
      <c r="B994" s="7" t="str">
        <f t="shared" si="62"/>
        <v>0402</v>
      </c>
      <c r="C994" s="7" t="s">
        <v>54</v>
      </c>
      <c r="D994" s="7" t="s">
        <v>52</v>
      </c>
      <c r="E994" s="7" t="str">
        <f>"王祥熙"</f>
        <v>王祥熙</v>
      </c>
      <c r="F994" s="7" t="s">
        <v>53</v>
      </c>
      <c r="G994" s="7"/>
    </row>
    <row r="995" ht="18" customHeight="1" spans="1:7">
      <c r="A995" s="7">
        <v>993</v>
      </c>
      <c r="B995" s="7" t="str">
        <f t="shared" si="62"/>
        <v>0402</v>
      </c>
      <c r="C995" s="7" t="s">
        <v>54</v>
      </c>
      <c r="D995" s="7" t="s">
        <v>52</v>
      </c>
      <c r="E995" s="7" t="str">
        <f>"冯瑶"</f>
        <v>冯瑶</v>
      </c>
      <c r="F995" s="7" t="s">
        <v>53</v>
      </c>
      <c r="G995" s="7"/>
    </row>
    <row r="996" ht="18" customHeight="1" spans="1:7">
      <c r="A996" s="7">
        <v>994</v>
      </c>
      <c r="B996" s="7" t="str">
        <f t="shared" si="62"/>
        <v>0402</v>
      </c>
      <c r="C996" s="7" t="s">
        <v>54</v>
      </c>
      <c r="D996" s="7" t="s">
        <v>52</v>
      </c>
      <c r="E996" s="7" t="str">
        <f>"刘鸿鹏"</f>
        <v>刘鸿鹏</v>
      </c>
      <c r="F996" s="7" t="s">
        <v>53</v>
      </c>
      <c r="G996" s="7"/>
    </row>
    <row r="997" ht="18" customHeight="1" spans="1:7">
      <c r="A997" s="7">
        <v>995</v>
      </c>
      <c r="B997" s="7" t="str">
        <f t="shared" si="62"/>
        <v>0402</v>
      </c>
      <c r="C997" s="7" t="s">
        <v>54</v>
      </c>
      <c r="D997" s="7" t="s">
        <v>52</v>
      </c>
      <c r="E997" s="7" t="str">
        <f>"杨益清"</f>
        <v>杨益清</v>
      </c>
      <c r="F997" s="7" t="s">
        <v>53</v>
      </c>
      <c r="G997" s="7"/>
    </row>
    <row r="998" ht="18" customHeight="1" spans="1:7">
      <c r="A998" s="7">
        <v>996</v>
      </c>
      <c r="B998" s="7" t="str">
        <f t="shared" si="62"/>
        <v>0402</v>
      </c>
      <c r="C998" s="7" t="s">
        <v>54</v>
      </c>
      <c r="D998" s="7" t="s">
        <v>52</v>
      </c>
      <c r="E998" s="7" t="str">
        <f>"谭美秀"</f>
        <v>谭美秀</v>
      </c>
      <c r="F998" s="7" t="s">
        <v>53</v>
      </c>
      <c r="G998" s="7"/>
    </row>
    <row r="999" ht="18" customHeight="1" spans="1:7">
      <c r="A999" s="7">
        <v>997</v>
      </c>
      <c r="B999" s="7" t="str">
        <f t="shared" si="62"/>
        <v>0402</v>
      </c>
      <c r="C999" s="7" t="s">
        <v>54</v>
      </c>
      <c r="D999" s="7" t="s">
        <v>52</v>
      </c>
      <c r="E999" s="7" t="str">
        <f>"何佳霖"</f>
        <v>何佳霖</v>
      </c>
      <c r="F999" s="7" t="s">
        <v>53</v>
      </c>
      <c r="G999" s="7"/>
    </row>
    <row r="1000" ht="18" customHeight="1" spans="1:7">
      <c r="A1000" s="7">
        <v>998</v>
      </c>
      <c r="B1000" s="7" t="str">
        <f t="shared" si="62"/>
        <v>0402</v>
      </c>
      <c r="C1000" s="7" t="s">
        <v>54</v>
      </c>
      <c r="D1000" s="7" t="s">
        <v>52</v>
      </c>
      <c r="E1000" s="7" t="str">
        <f>"郑维乙"</f>
        <v>郑维乙</v>
      </c>
      <c r="F1000" s="7" t="s">
        <v>53</v>
      </c>
      <c r="G1000" s="7"/>
    </row>
    <row r="1001" ht="18" customHeight="1" spans="1:7">
      <c r="A1001" s="7">
        <v>999</v>
      </c>
      <c r="B1001" s="7" t="str">
        <f t="shared" si="62"/>
        <v>0402</v>
      </c>
      <c r="C1001" s="7" t="s">
        <v>54</v>
      </c>
      <c r="D1001" s="7" t="s">
        <v>52</v>
      </c>
      <c r="E1001" s="7" t="str">
        <f>"罗芳芳"</f>
        <v>罗芳芳</v>
      </c>
      <c r="F1001" s="7" t="s">
        <v>53</v>
      </c>
      <c r="G1001" s="7"/>
    </row>
    <row r="1002" ht="18" customHeight="1" spans="1:7">
      <c r="A1002" s="7">
        <v>1000</v>
      </c>
      <c r="B1002" s="7" t="str">
        <f t="shared" si="62"/>
        <v>0402</v>
      </c>
      <c r="C1002" s="7" t="s">
        <v>54</v>
      </c>
      <c r="D1002" s="7" t="s">
        <v>52</v>
      </c>
      <c r="E1002" s="7" t="str">
        <f>"韩东宁"</f>
        <v>韩东宁</v>
      </c>
      <c r="F1002" s="7" t="s">
        <v>53</v>
      </c>
      <c r="G1002" s="7"/>
    </row>
    <row r="1003" ht="18" customHeight="1" spans="1:7">
      <c r="A1003" s="7">
        <v>1001</v>
      </c>
      <c r="B1003" s="7" t="str">
        <f t="shared" si="62"/>
        <v>0402</v>
      </c>
      <c r="C1003" s="7" t="s">
        <v>54</v>
      </c>
      <c r="D1003" s="7" t="s">
        <v>52</v>
      </c>
      <c r="E1003" s="7" t="str">
        <f>"刘志勤"</f>
        <v>刘志勤</v>
      </c>
      <c r="F1003" s="7" t="s">
        <v>53</v>
      </c>
      <c r="G1003" s="7"/>
    </row>
    <row r="1004" ht="18" customHeight="1" spans="1:7">
      <c r="A1004" s="7">
        <v>1002</v>
      </c>
      <c r="B1004" s="7" t="str">
        <f t="shared" si="62"/>
        <v>0402</v>
      </c>
      <c r="C1004" s="7" t="s">
        <v>54</v>
      </c>
      <c r="D1004" s="7" t="s">
        <v>52</v>
      </c>
      <c r="E1004" s="7" t="str">
        <f>"郑圆"</f>
        <v>郑圆</v>
      </c>
      <c r="F1004" s="7" t="s">
        <v>53</v>
      </c>
      <c r="G1004" s="7"/>
    </row>
    <row r="1005" ht="18" customHeight="1" spans="1:7">
      <c r="A1005" s="7">
        <v>1003</v>
      </c>
      <c r="B1005" s="7" t="str">
        <f t="shared" si="62"/>
        <v>0402</v>
      </c>
      <c r="C1005" s="7" t="s">
        <v>54</v>
      </c>
      <c r="D1005" s="7" t="s">
        <v>52</v>
      </c>
      <c r="E1005" s="7" t="str">
        <f>"宫悦"</f>
        <v>宫悦</v>
      </c>
      <c r="F1005" s="7" t="s">
        <v>53</v>
      </c>
      <c r="G1005" s="7"/>
    </row>
    <row r="1006" ht="18" customHeight="1" spans="1:7">
      <c r="A1006" s="7">
        <v>1004</v>
      </c>
      <c r="B1006" s="7" t="str">
        <f t="shared" si="62"/>
        <v>0402</v>
      </c>
      <c r="C1006" s="7" t="s">
        <v>54</v>
      </c>
      <c r="D1006" s="7" t="s">
        <v>52</v>
      </c>
      <c r="E1006" s="9" t="str">
        <f>"张雨"</f>
        <v>张雨</v>
      </c>
      <c r="F1006" s="7" t="s">
        <v>53</v>
      </c>
      <c r="G1006" s="7" t="str">
        <f>"120542"</f>
        <v>120542</v>
      </c>
    </row>
    <row r="1007" ht="18" customHeight="1" spans="1:7">
      <c r="A1007" s="7">
        <v>1005</v>
      </c>
      <c r="B1007" s="7" t="str">
        <f t="shared" si="62"/>
        <v>0402</v>
      </c>
      <c r="C1007" s="7" t="s">
        <v>54</v>
      </c>
      <c r="D1007" s="7" t="s">
        <v>52</v>
      </c>
      <c r="E1007" s="7" t="str">
        <f>"赵文静"</f>
        <v>赵文静</v>
      </c>
      <c r="F1007" s="7" t="s">
        <v>53</v>
      </c>
      <c r="G1007" s="7"/>
    </row>
    <row r="1008" ht="18" customHeight="1" spans="1:7">
      <c r="A1008" s="7">
        <v>1006</v>
      </c>
      <c r="B1008" s="7" t="str">
        <f t="shared" si="62"/>
        <v>0402</v>
      </c>
      <c r="C1008" s="7" t="s">
        <v>54</v>
      </c>
      <c r="D1008" s="7" t="s">
        <v>52</v>
      </c>
      <c r="E1008" s="7" t="str">
        <f>"边鑫"</f>
        <v>边鑫</v>
      </c>
      <c r="F1008" s="7" t="s">
        <v>53</v>
      </c>
      <c r="G1008" s="7"/>
    </row>
    <row r="1009" ht="18" customHeight="1" spans="1:7">
      <c r="A1009" s="7">
        <v>1007</v>
      </c>
      <c r="B1009" s="7" t="str">
        <f t="shared" si="62"/>
        <v>0402</v>
      </c>
      <c r="C1009" s="7" t="s">
        <v>54</v>
      </c>
      <c r="D1009" s="7" t="s">
        <v>52</v>
      </c>
      <c r="E1009" s="7" t="str">
        <f>"李雨芊"</f>
        <v>李雨芊</v>
      </c>
      <c r="F1009" s="7" t="s">
        <v>53</v>
      </c>
      <c r="G1009" s="7"/>
    </row>
    <row r="1010" ht="18" customHeight="1" spans="1:7">
      <c r="A1010" s="7">
        <v>1008</v>
      </c>
      <c r="B1010" s="7" t="str">
        <f t="shared" si="62"/>
        <v>0402</v>
      </c>
      <c r="C1010" s="7" t="s">
        <v>54</v>
      </c>
      <c r="D1010" s="7" t="s">
        <v>52</v>
      </c>
      <c r="E1010" s="7" t="str">
        <f>"杨玉莹"</f>
        <v>杨玉莹</v>
      </c>
      <c r="F1010" s="7" t="s">
        <v>53</v>
      </c>
      <c r="G1010" s="7"/>
    </row>
    <row r="1011" ht="18" customHeight="1" spans="1:7">
      <c r="A1011" s="7">
        <v>1009</v>
      </c>
      <c r="B1011" s="7" t="str">
        <f t="shared" si="62"/>
        <v>0402</v>
      </c>
      <c r="C1011" s="7" t="s">
        <v>54</v>
      </c>
      <c r="D1011" s="7" t="s">
        <v>52</v>
      </c>
      <c r="E1011" s="7" t="str">
        <f>"吴晓茜"</f>
        <v>吴晓茜</v>
      </c>
      <c r="F1011" s="7" t="s">
        <v>53</v>
      </c>
      <c r="G1011" s="7"/>
    </row>
    <row r="1012" ht="18" customHeight="1" spans="1:7">
      <c r="A1012" s="7">
        <v>1010</v>
      </c>
      <c r="B1012" s="7" t="str">
        <f t="shared" si="62"/>
        <v>0402</v>
      </c>
      <c r="C1012" s="7" t="s">
        <v>54</v>
      </c>
      <c r="D1012" s="7" t="s">
        <v>52</v>
      </c>
      <c r="E1012" s="7" t="str">
        <f>"张杨"</f>
        <v>张杨</v>
      </c>
      <c r="F1012" s="7" t="s">
        <v>53</v>
      </c>
      <c r="G1012" s="7"/>
    </row>
    <row r="1013" ht="18" customHeight="1" spans="1:7">
      <c r="A1013" s="7">
        <v>1011</v>
      </c>
      <c r="B1013" s="7" t="str">
        <f t="shared" si="62"/>
        <v>0402</v>
      </c>
      <c r="C1013" s="7" t="s">
        <v>54</v>
      </c>
      <c r="D1013" s="7" t="s">
        <v>52</v>
      </c>
      <c r="E1013" s="7" t="str">
        <f>"黎星延"</f>
        <v>黎星延</v>
      </c>
      <c r="F1013" s="7" t="s">
        <v>53</v>
      </c>
      <c r="G1013" s="7"/>
    </row>
    <row r="1014" ht="18" customHeight="1" spans="1:7">
      <c r="A1014" s="7">
        <v>1012</v>
      </c>
      <c r="B1014" s="7" t="str">
        <f t="shared" si="62"/>
        <v>0402</v>
      </c>
      <c r="C1014" s="7" t="s">
        <v>54</v>
      </c>
      <c r="D1014" s="7" t="s">
        <v>52</v>
      </c>
      <c r="E1014" s="7" t="str">
        <f>"张舰"</f>
        <v>张舰</v>
      </c>
      <c r="F1014" s="7" t="s">
        <v>53</v>
      </c>
      <c r="G1014" s="7"/>
    </row>
    <row r="1015" ht="18" customHeight="1" spans="1:7">
      <c r="A1015" s="7">
        <v>1013</v>
      </c>
      <c r="B1015" s="7" t="str">
        <f t="shared" si="62"/>
        <v>0402</v>
      </c>
      <c r="C1015" s="7" t="s">
        <v>54</v>
      </c>
      <c r="D1015" s="7" t="s">
        <v>52</v>
      </c>
      <c r="E1015" s="7" t="str">
        <f>"王士成"</f>
        <v>王士成</v>
      </c>
      <c r="F1015" s="7" t="s">
        <v>53</v>
      </c>
      <c r="G1015" s="7"/>
    </row>
    <row r="1016" ht="18" customHeight="1" spans="1:7">
      <c r="A1016" s="7">
        <v>1014</v>
      </c>
      <c r="B1016" s="7" t="str">
        <f t="shared" si="62"/>
        <v>0402</v>
      </c>
      <c r="C1016" s="7" t="s">
        <v>54</v>
      </c>
      <c r="D1016" s="7" t="s">
        <v>52</v>
      </c>
      <c r="E1016" s="7" t="str">
        <f>"吴丹玭"</f>
        <v>吴丹玭</v>
      </c>
      <c r="F1016" s="7" t="s">
        <v>53</v>
      </c>
      <c r="G1016" s="7"/>
    </row>
    <row r="1017" ht="18" customHeight="1" spans="1:7">
      <c r="A1017" s="7">
        <v>1015</v>
      </c>
      <c r="B1017" s="7" t="str">
        <f t="shared" si="62"/>
        <v>0402</v>
      </c>
      <c r="C1017" s="7" t="s">
        <v>54</v>
      </c>
      <c r="D1017" s="7" t="s">
        <v>52</v>
      </c>
      <c r="E1017" s="7" t="str">
        <f>"董小天"</f>
        <v>董小天</v>
      </c>
      <c r="F1017" s="7" t="s">
        <v>53</v>
      </c>
      <c r="G1017" s="7"/>
    </row>
    <row r="1018" ht="18" customHeight="1" spans="1:7">
      <c r="A1018" s="7">
        <v>1016</v>
      </c>
      <c r="B1018" s="7" t="str">
        <f t="shared" si="62"/>
        <v>0402</v>
      </c>
      <c r="C1018" s="7" t="s">
        <v>54</v>
      </c>
      <c r="D1018" s="7" t="s">
        <v>52</v>
      </c>
      <c r="E1018" s="7" t="str">
        <f>"万钧"</f>
        <v>万钧</v>
      </c>
      <c r="F1018" s="7" t="s">
        <v>53</v>
      </c>
      <c r="G1018" s="7"/>
    </row>
    <row r="1019" ht="18" customHeight="1" spans="1:7">
      <c r="A1019" s="7">
        <v>1017</v>
      </c>
      <c r="B1019" s="7" t="str">
        <f t="shared" si="62"/>
        <v>0402</v>
      </c>
      <c r="C1019" s="7" t="s">
        <v>54</v>
      </c>
      <c r="D1019" s="7" t="s">
        <v>52</v>
      </c>
      <c r="E1019" s="7" t="str">
        <f>"尹晴"</f>
        <v>尹晴</v>
      </c>
      <c r="F1019" s="7" t="s">
        <v>53</v>
      </c>
      <c r="G1019" s="7"/>
    </row>
    <row r="1020" ht="18" customHeight="1" spans="1:7">
      <c r="A1020" s="7">
        <v>1018</v>
      </c>
      <c r="B1020" s="7" t="str">
        <f t="shared" si="62"/>
        <v>0402</v>
      </c>
      <c r="C1020" s="7" t="s">
        <v>54</v>
      </c>
      <c r="D1020" s="7" t="s">
        <v>52</v>
      </c>
      <c r="E1020" s="7" t="str">
        <f>"张胜男"</f>
        <v>张胜男</v>
      </c>
      <c r="F1020" s="7" t="s">
        <v>53</v>
      </c>
      <c r="G1020" s="7"/>
    </row>
    <row r="1021" ht="18" customHeight="1" spans="1:7">
      <c r="A1021" s="7">
        <v>1019</v>
      </c>
      <c r="B1021" s="7" t="str">
        <f t="shared" si="62"/>
        <v>0402</v>
      </c>
      <c r="C1021" s="7" t="s">
        <v>54</v>
      </c>
      <c r="D1021" s="7" t="s">
        <v>52</v>
      </c>
      <c r="E1021" s="7" t="str">
        <f>"徐晓悦"</f>
        <v>徐晓悦</v>
      </c>
      <c r="F1021" s="7" t="s">
        <v>53</v>
      </c>
      <c r="G1021" s="7"/>
    </row>
    <row r="1022" ht="18" customHeight="1" spans="1:7">
      <c r="A1022" s="7">
        <v>1020</v>
      </c>
      <c r="B1022" s="7" t="str">
        <f t="shared" si="62"/>
        <v>0402</v>
      </c>
      <c r="C1022" s="7" t="s">
        <v>54</v>
      </c>
      <c r="D1022" s="7" t="s">
        <v>52</v>
      </c>
      <c r="E1022" s="7" t="str">
        <f>"李帅"</f>
        <v>李帅</v>
      </c>
      <c r="F1022" s="7" t="s">
        <v>53</v>
      </c>
      <c r="G1022" s="7"/>
    </row>
    <row r="1023" ht="18" customHeight="1" spans="1:7">
      <c r="A1023" s="7">
        <v>1021</v>
      </c>
      <c r="B1023" s="7" t="str">
        <f t="shared" ref="B1023:B1086" si="63">"0402"</f>
        <v>0402</v>
      </c>
      <c r="C1023" s="7" t="s">
        <v>54</v>
      </c>
      <c r="D1023" s="7" t="s">
        <v>52</v>
      </c>
      <c r="E1023" s="7" t="str">
        <f>"卢志霞"</f>
        <v>卢志霞</v>
      </c>
      <c r="F1023" s="7" t="s">
        <v>53</v>
      </c>
      <c r="G1023" s="7"/>
    </row>
    <row r="1024" ht="18" customHeight="1" spans="1:7">
      <c r="A1024" s="7">
        <v>1022</v>
      </c>
      <c r="B1024" s="7" t="str">
        <f t="shared" si="63"/>
        <v>0402</v>
      </c>
      <c r="C1024" s="7" t="s">
        <v>54</v>
      </c>
      <c r="D1024" s="7" t="s">
        <v>52</v>
      </c>
      <c r="E1024" s="7" t="str">
        <f>"何易航"</f>
        <v>何易航</v>
      </c>
      <c r="F1024" s="7" t="s">
        <v>53</v>
      </c>
      <c r="G1024" s="7"/>
    </row>
    <row r="1025" ht="18" customHeight="1" spans="1:7">
      <c r="A1025" s="7">
        <v>1023</v>
      </c>
      <c r="B1025" s="7" t="str">
        <f t="shared" si="63"/>
        <v>0402</v>
      </c>
      <c r="C1025" s="7" t="s">
        <v>54</v>
      </c>
      <c r="D1025" s="7" t="s">
        <v>52</v>
      </c>
      <c r="E1025" s="7" t="str">
        <f>"郭筠"</f>
        <v>郭筠</v>
      </c>
      <c r="F1025" s="7" t="s">
        <v>53</v>
      </c>
      <c r="G1025" s="7"/>
    </row>
    <row r="1026" ht="18" customHeight="1" spans="1:7">
      <c r="A1026" s="7">
        <v>1024</v>
      </c>
      <c r="B1026" s="7" t="str">
        <f t="shared" si="63"/>
        <v>0402</v>
      </c>
      <c r="C1026" s="7" t="s">
        <v>54</v>
      </c>
      <c r="D1026" s="7" t="s">
        <v>52</v>
      </c>
      <c r="E1026" s="7" t="str">
        <f>"梁艺超"</f>
        <v>梁艺超</v>
      </c>
      <c r="F1026" s="7" t="s">
        <v>53</v>
      </c>
      <c r="G1026" s="7"/>
    </row>
    <row r="1027" ht="18" customHeight="1" spans="1:7">
      <c r="A1027" s="7">
        <v>1025</v>
      </c>
      <c r="B1027" s="7" t="str">
        <f t="shared" si="63"/>
        <v>0402</v>
      </c>
      <c r="C1027" s="7" t="s">
        <v>54</v>
      </c>
      <c r="D1027" s="7" t="s">
        <v>52</v>
      </c>
      <c r="E1027" s="7" t="str">
        <f>"王超"</f>
        <v>王超</v>
      </c>
      <c r="F1027" s="7" t="s">
        <v>53</v>
      </c>
      <c r="G1027" s="7"/>
    </row>
    <row r="1028" ht="18" customHeight="1" spans="1:7">
      <c r="A1028" s="7">
        <v>1026</v>
      </c>
      <c r="B1028" s="7" t="str">
        <f t="shared" si="63"/>
        <v>0402</v>
      </c>
      <c r="C1028" s="7" t="s">
        <v>54</v>
      </c>
      <c r="D1028" s="7" t="s">
        <v>52</v>
      </c>
      <c r="E1028" s="7" t="str">
        <f>"侯湘元"</f>
        <v>侯湘元</v>
      </c>
      <c r="F1028" s="7" t="s">
        <v>53</v>
      </c>
      <c r="G1028" s="7"/>
    </row>
    <row r="1029" ht="18" customHeight="1" spans="1:7">
      <c r="A1029" s="7">
        <v>1027</v>
      </c>
      <c r="B1029" s="7" t="str">
        <f t="shared" si="63"/>
        <v>0402</v>
      </c>
      <c r="C1029" s="7" t="s">
        <v>54</v>
      </c>
      <c r="D1029" s="7" t="s">
        <v>52</v>
      </c>
      <c r="E1029" s="7" t="str">
        <f>"田瑶"</f>
        <v>田瑶</v>
      </c>
      <c r="F1029" s="7" t="s">
        <v>53</v>
      </c>
      <c r="G1029" s="7"/>
    </row>
    <row r="1030" ht="18" customHeight="1" spans="1:7">
      <c r="A1030" s="7">
        <v>1028</v>
      </c>
      <c r="B1030" s="7" t="str">
        <f t="shared" si="63"/>
        <v>0402</v>
      </c>
      <c r="C1030" s="7" t="s">
        <v>54</v>
      </c>
      <c r="D1030" s="7" t="s">
        <v>52</v>
      </c>
      <c r="E1030" s="7" t="str">
        <f>"邓志鹏"</f>
        <v>邓志鹏</v>
      </c>
      <c r="F1030" s="7" t="s">
        <v>53</v>
      </c>
      <c r="G1030" s="7"/>
    </row>
    <row r="1031" ht="18" customHeight="1" spans="1:7">
      <c r="A1031" s="7">
        <v>1029</v>
      </c>
      <c r="B1031" s="7" t="str">
        <f t="shared" si="63"/>
        <v>0402</v>
      </c>
      <c r="C1031" s="7" t="s">
        <v>54</v>
      </c>
      <c r="D1031" s="7" t="s">
        <v>52</v>
      </c>
      <c r="E1031" s="7" t="str">
        <f>"田奇聪"</f>
        <v>田奇聪</v>
      </c>
      <c r="F1031" s="7" t="s">
        <v>53</v>
      </c>
      <c r="G1031" s="7"/>
    </row>
    <row r="1032" ht="18" customHeight="1" spans="1:7">
      <c r="A1032" s="7">
        <v>1030</v>
      </c>
      <c r="B1032" s="7" t="str">
        <f t="shared" si="63"/>
        <v>0402</v>
      </c>
      <c r="C1032" s="7" t="s">
        <v>54</v>
      </c>
      <c r="D1032" s="7" t="s">
        <v>52</v>
      </c>
      <c r="E1032" s="7" t="str">
        <f>"竺莲"</f>
        <v>竺莲</v>
      </c>
      <c r="F1032" s="7" t="s">
        <v>53</v>
      </c>
      <c r="G1032" s="7"/>
    </row>
    <row r="1033" ht="18" customHeight="1" spans="1:7">
      <c r="A1033" s="7">
        <v>1031</v>
      </c>
      <c r="B1033" s="7" t="str">
        <f t="shared" si="63"/>
        <v>0402</v>
      </c>
      <c r="C1033" s="7" t="s">
        <v>54</v>
      </c>
      <c r="D1033" s="7" t="s">
        <v>52</v>
      </c>
      <c r="E1033" s="7" t="str">
        <f>"马涵秀"</f>
        <v>马涵秀</v>
      </c>
      <c r="F1033" s="7" t="s">
        <v>53</v>
      </c>
      <c r="G1033" s="7"/>
    </row>
    <row r="1034" ht="18" customHeight="1" spans="1:7">
      <c r="A1034" s="7">
        <v>1032</v>
      </c>
      <c r="B1034" s="7" t="str">
        <f t="shared" si="63"/>
        <v>0402</v>
      </c>
      <c r="C1034" s="7" t="s">
        <v>54</v>
      </c>
      <c r="D1034" s="7" t="s">
        <v>52</v>
      </c>
      <c r="E1034" s="7" t="str">
        <f>"薛宜净"</f>
        <v>薛宜净</v>
      </c>
      <c r="F1034" s="7" t="s">
        <v>53</v>
      </c>
      <c r="G1034" s="7"/>
    </row>
    <row r="1035" ht="18" customHeight="1" spans="1:7">
      <c r="A1035" s="7">
        <v>1033</v>
      </c>
      <c r="B1035" s="7" t="str">
        <f t="shared" si="63"/>
        <v>0402</v>
      </c>
      <c r="C1035" s="7" t="s">
        <v>54</v>
      </c>
      <c r="D1035" s="7" t="s">
        <v>52</v>
      </c>
      <c r="E1035" s="7" t="str">
        <f>"毕愿坤"</f>
        <v>毕愿坤</v>
      </c>
      <c r="F1035" s="7" t="s">
        <v>53</v>
      </c>
      <c r="G1035" s="7"/>
    </row>
    <row r="1036" ht="18" customHeight="1" spans="1:7">
      <c r="A1036" s="7">
        <v>1034</v>
      </c>
      <c r="B1036" s="7" t="str">
        <f t="shared" si="63"/>
        <v>0402</v>
      </c>
      <c r="C1036" s="7" t="s">
        <v>54</v>
      </c>
      <c r="D1036" s="7" t="s">
        <v>52</v>
      </c>
      <c r="E1036" s="7" t="str">
        <f>"李东明"</f>
        <v>李东明</v>
      </c>
      <c r="F1036" s="7" t="s">
        <v>53</v>
      </c>
      <c r="G1036" s="7"/>
    </row>
    <row r="1037" ht="18" customHeight="1" spans="1:7">
      <c r="A1037" s="7">
        <v>1035</v>
      </c>
      <c r="B1037" s="7" t="str">
        <f t="shared" si="63"/>
        <v>0402</v>
      </c>
      <c r="C1037" s="7" t="s">
        <v>54</v>
      </c>
      <c r="D1037" s="7" t="s">
        <v>52</v>
      </c>
      <c r="E1037" s="7" t="str">
        <f>"李慧"</f>
        <v>李慧</v>
      </c>
      <c r="F1037" s="7" t="s">
        <v>53</v>
      </c>
      <c r="G1037" s="7"/>
    </row>
    <row r="1038" ht="18" customHeight="1" spans="1:7">
      <c r="A1038" s="7">
        <v>1036</v>
      </c>
      <c r="B1038" s="7" t="str">
        <f t="shared" si="63"/>
        <v>0402</v>
      </c>
      <c r="C1038" s="7" t="s">
        <v>54</v>
      </c>
      <c r="D1038" s="7" t="s">
        <v>52</v>
      </c>
      <c r="E1038" s="7" t="str">
        <f>"陈晶晶"</f>
        <v>陈晶晶</v>
      </c>
      <c r="F1038" s="7" t="s">
        <v>53</v>
      </c>
      <c r="G1038" s="7"/>
    </row>
    <row r="1039" ht="18" customHeight="1" spans="1:7">
      <c r="A1039" s="7">
        <v>1037</v>
      </c>
      <c r="B1039" s="7" t="str">
        <f t="shared" si="63"/>
        <v>0402</v>
      </c>
      <c r="C1039" s="7" t="s">
        <v>54</v>
      </c>
      <c r="D1039" s="7" t="s">
        <v>52</v>
      </c>
      <c r="E1039" s="7" t="str">
        <f>"胥超 "</f>
        <v>胥超 </v>
      </c>
      <c r="F1039" s="7" t="s">
        <v>53</v>
      </c>
      <c r="G1039" s="7"/>
    </row>
    <row r="1040" ht="18" customHeight="1" spans="1:7">
      <c r="A1040" s="7">
        <v>1038</v>
      </c>
      <c r="B1040" s="7" t="str">
        <f t="shared" si="63"/>
        <v>0402</v>
      </c>
      <c r="C1040" s="7" t="s">
        <v>54</v>
      </c>
      <c r="D1040" s="7" t="s">
        <v>52</v>
      </c>
      <c r="E1040" s="7" t="str">
        <f>"陈婷"</f>
        <v>陈婷</v>
      </c>
      <c r="F1040" s="7" t="s">
        <v>53</v>
      </c>
      <c r="G1040" s="7"/>
    </row>
    <row r="1041" ht="18" customHeight="1" spans="1:7">
      <c r="A1041" s="7">
        <v>1039</v>
      </c>
      <c r="B1041" s="7" t="str">
        <f t="shared" si="63"/>
        <v>0402</v>
      </c>
      <c r="C1041" s="7" t="s">
        <v>54</v>
      </c>
      <c r="D1041" s="7" t="s">
        <v>52</v>
      </c>
      <c r="E1041" s="7" t="str">
        <f>"邓露晴"</f>
        <v>邓露晴</v>
      </c>
      <c r="F1041" s="7" t="s">
        <v>53</v>
      </c>
      <c r="G1041" s="7"/>
    </row>
    <row r="1042" ht="18" customHeight="1" spans="1:7">
      <c r="A1042" s="7">
        <v>1040</v>
      </c>
      <c r="B1042" s="7" t="str">
        <f t="shared" si="63"/>
        <v>0402</v>
      </c>
      <c r="C1042" s="7" t="s">
        <v>54</v>
      </c>
      <c r="D1042" s="7" t="s">
        <v>52</v>
      </c>
      <c r="E1042" s="7" t="str">
        <f>"熊嘉乾"</f>
        <v>熊嘉乾</v>
      </c>
      <c r="F1042" s="7" t="s">
        <v>53</v>
      </c>
      <c r="G1042" s="7"/>
    </row>
    <row r="1043" ht="18" customHeight="1" spans="1:7">
      <c r="A1043" s="7">
        <v>1041</v>
      </c>
      <c r="B1043" s="7" t="str">
        <f t="shared" si="63"/>
        <v>0402</v>
      </c>
      <c r="C1043" s="7" t="s">
        <v>54</v>
      </c>
      <c r="D1043" s="7" t="s">
        <v>52</v>
      </c>
      <c r="E1043" s="7" t="str">
        <f>"覃雅玟"</f>
        <v>覃雅玟</v>
      </c>
      <c r="F1043" s="7" t="s">
        <v>53</v>
      </c>
      <c r="G1043" s="7"/>
    </row>
    <row r="1044" ht="18" customHeight="1" spans="1:7">
      <c r="A1044" s="7">
        <v>1042</v>
      </c>
      <c r="B1044" s="7" t="str">
        <f t="shared" si="63"/>
        <v>0402</v>
      </c>
      <c r="C1044" s="7" t="s">
        <v>54</v>
      </c>
      <c r="D1044" s="7" t="s">
        <v>52</v>
      </c>
      <c r="E1044" s="7" t="str">
        <f>"李蓉"</f>
        <v>李蓉</v>
      </c>
      <c r="F1044" s="7" t="s">
        <v>53</v>
      </c>
      <c r="G1044" s="7"/>
    </row>
    <row r="1045" ht="18" customHeight="1" spans="1:7">
      <c r="A1045" s="7">
        <v>1043</v>
      </c>
      <c r="B1045" s="7" t="str">
        <f t="shared" si="63"/>
        <v>0402</v>
      </c>
      <c r="C1045" s="7" t="s">
        <v>54</v>
      </c>
      <c r="D1045" s="7" t="s">
        <v>52</v>
      </c>
      <c r="E1045" s="7" t="str">
        <f>"李文静"</f>
        <v>李文静</v>
      </c>
      <c r="F1045" s="7" t="s">
        <v>53</v>
      </c>
      <c r="G1045" s="7"/>
    </row>
    <row r="1046" ht="18" customHeight="1" spans="1:7">
      <c r="A1046" s="7">
        <v>1044</v>
      </c>
      <c r="B1046" s="7" t="str">
        <f t="shared" si="63"/>
        <v>0402</v>
      </c>
      <c r="C1046" s="7" t="s">
        <v>54</v>
      </c>
      <c r="D1046" s="7" t="s">
        <v>52</v>
      </c>
      <c r="E1046" s="7" t="str">
        <f>"郑智佳"</f>
        <v>郑智佳</v>
      </c>
      <c r="F1046" s="7" t="s">
        <v>53</v>
      </c>
      <c r="G1046" s="7"/>
    </row>
    <row r="1047" ht="18" customHeight="1" spans="1:7">
      <c r="A1047" s="7">
        <v>1045</v>
      </c>
      <c r="B1047" s="7" t="str">
        <f t="shared" si="63"/>
        <v>0402</v>
      </c>
      <c r="C1047" s="7" t="s">
        <v>54</v>
      </c>
      <c r="D1047" s="7" t="s">
        <v>52</v>
      </c>
      <c r="E1047" s="7" t="str">
        <f>"李永强"</f>
        <v>李永强</v>
      </c>
      <c r="F1047" s="7" t="s">
        <v>53</v>
      </c>
      <c r="G1047" s="7"/>
    </row>
    <row r="1048" ht="18" customHeight="1" spans="1:7">
      <c r="A1048" s="7">
        <v>1046</v>
      </c>
      <c r="B1048" s="7" t="str">
        <f t="shared" si="63"/>
        <v>0402</v>
      </c>
      <c r="C1048" s="7" t="s">
        <v>54</v>
      </c>
      <c r="D1048" s="7" t="s">
        <v>52</v>
      </c>
      <c r="E1048" s="7" t="str">
        <f>"韦其慧"</f>
        <v>韦其慧</v>
      </c>
      <c r="F1048" s="7" t="s">
        <v>53</v>
      </c>
      <c r="G1048" s="7"/>
    </row>
    <row r="1049" ht="18" customHeight="1" spans="1:7">
      <c r="A1049" s="7">
        <v>1047</v>
      </c>
      <c r="B1049" s="7" t="str">
        <f t="shared" si="63"/>
        <v>0402</v>
      </c>
      <c r="C1049" s="7" t="s">
        <v>54</v>
      </c>
      <c r="D1049" s="7" t="s">
        <v>52</v>
      </c>
      <c r="E1049" s="7" t="str">
        <f>"周佳逸"</f>
        <v>周佳逸</v>
      </c>
      <c r="F1049" s="7" t="s">
        <v>53</v>
      </c>
      <c r="G1049" s="7"/>
    </row>
    <row r="1050" ht="18" customHeight="1" spans="1:7">
      <c r="A1050" s="7">
        <v>1048</v>
      </c>
      <c r="B1050" s="7" t="str">
        <f t="shared" si="63"/>
        <v>0402</v>
      </c>
      <c r="C1050" s="7" t="s">
        <v>54</v>
      </c>
      <c r="D1050" s="7" t="s">
        <v>52</v>
      </c>
      <c r="E1050" s="7" t="str">
        <f>"陈琪"</f>
        <v>陈琪</v>
      </c>
      <c r="F1050" s="7" t="s">
        <v>53</v>
      </c>
      <c r="G1050" s="7"/>
    </row>
    <row r="1051" ht="18" customHeight="1" spans="1:7">
      <c r="A1051" s="7">
        <v>1049</v>
      </c>
      <c r="B1051" s="7" t="str">
        <f t="shared" si="63"/>
        <v>0402</v>
      </c>
      <c r="C1051" s="7" t="s">
        <v>54</v>
      </c>
      <c r="D1051" s="7" t="s">
        <v>52</v>
      </c>
      <c r="E1051" s="7" t="str">
        <f>"李妹妹"</f>
        <v>李妹妹</v>
      </c>
      <c r="F1051" s="7" t="s">
        <v>53</v>
      </c>
      <c r="G1051" s="7"/>
    </row>
    <row r="1052" ht="18" customHeight="1" spans="1:7">
      <c r="A1052" s="7">
        <v>1050</v>
      </c>
      <c r="B1052" s="7" t="str">
        <f t="shared" si="63"/>
        <v>0402</v>
      </c>
      <c r="C1052" s="7" t="s">
        <v>54</v>
      </c>
      <c r="D1052" s="7" t="s">
        <v>52</v>
      </c>
      <c r="E1052" s="7" t="str">
        <f>"石丁蓉"</f>
        <v>石丁蓉</v>
      </c>
      <c r="F1052" s="7" t="s">
        <v>53</v>
      </c>
      <c r="G1052" s="7"/>
    </row>
    <row r="1053" ht="18" customHeight="1" spans="1:7">
      <c r="A1053" s="7">
        <v>1051</v>
      </c>
      <c r="B1053" s="7" t="str">
        <f t="shared" si="63"/>
        <v>0402</v>
      </c>
      <c r="C1053" s="7" t="s">
        <v>54</v>
      </c>
      <c r="D1053" s="7" t="s">
        <v>52</v>
      </c>
      <c r="E1053" s="7" t="str">
        <f>"刘欣"</f>
        <v>刘欣</v>
      </c>
      <c r="F1053" s="7" t="s">
        <v>53</v>
      </c>
      <c r="G1053" s="7"/>
    </row>
    <row r="1054" ht="18" customHeight="1" spans="1:7">
      <c r="A1054" s="7">
        <v>1052</v>
      </c>
      <c r="B1054" s="7" t="str">
        <f t="shared" si="63"/>
        <v>0402</v>
      </c>
      <c r="C1054" s="7" t="s">
        <v>54</v>
      </c>
      <c r="D1054" s="7" t="s">
        <v>52</v>
      </c>
      <c r="E1054" s="7" t="str">
        <f>"张夏冰"</f>
        <v>张夏冰</v>
      </c>
      <c r="F1054" s="7" t="s">
        <v>53</v>
      </c>
      <c r="G1054" s="7"/>
    </row>
    <row r="1055" ht="18" customHeight="1" spans="1:7">
      <c r="A1055" s="7">
        <v>1053</v>
      </c>
      <c r="B1055" s="7" t="str">
        <f t="shared" si="63"/>
        <v>0402</v>
      </c>
      <c r="C1055" s="7" t="s">
        <v>54</v>
      </c>
      <c r="D1055" s="7" t="s">
        <v>52</v>
      </c>
      <c r="E1055" s="7" t="str">
        <f>"郭飞怡"</f>
        <v>郭飞怡</v>
      </c>
      <c r="F1055" s="7" t="s">
        <v>53</v>
      </c>
      <c r="G1055" s="7"/>
    </row>
    <row r="1056" ht="18" customHeight="1" spans="1:7">
      <c r="A1056" s="7">
        <v>1054</v>
      </c>
      <c r="B1056" s="7" t="str">
        <f t="shared" si="63"/>
        <v>0402</v>
      </c>
      <c r="C1056" s="7" t="s">
        <v>54</v>
      </c>
      <c r="D1056" s="7" t="s">
        <v>52</v>
      </c>
      <c r="E1056" s="7" t="str">
        <f>"刘志军"</f>
        <v>刘志军</v>
      </c>
      <c r="F1056" s="7" t="s">
        <v>53</v>
      </c>
      <c r="G1056" s="7"/>
    </row>
    <row r="1057" ht="18" customHeight="1" spans="1:7">
      <c r="A1057" s="7">
        <v>1055</v>
      </c>
      <c r="B1057" s="7" t="str">
        <f t="shared" si="63"/>
        <v>0402</v>
      </c>
      <c r="C1057" s="7" t="s">
        <v>54</v>
      </c>
      <c r="D1057" s="7" t="s">
        <v>52</v>
      </c>
      <c r="E1057" s="7" t="str">
        <f>"陈丽青"</f>
        <v>陈丽青</v>
      </c>
      <c r="F1057" s="7" t="s">
        <v>53</v>
      </c>
      <c r="G1057" s="7"/>
    </row>
    <row r="1058" ht="18" customHeight="1" spans="1:7">
      <c r="A1058" s="7">
        <v>1056</v>
      </c>
      <c r="B1058" s="7" t="str">
        <f t="shared" si="63"/>
        <v>0402</v>
      </c>
      <c r="C1058" s="7" t="s">
        <v>54</v>
      </c>
      <c r="D1058" s="7" t="s">
        <v>52</v>
      </c>
      <c r="E1058" s="7" t="str">
        <f>"徐童霜"</f>
        <v>徐童霜</v>
      </c>
      <c r="F1058" s="7" t="s">
        <v>53</v>
      </c>
      <c r="G1058" s="7"/>
    </row>
    <row r="1059" ht="18" customHeight="1" spans="1:7">
      <c r="A1059" s="7">
        <v>1057</v>
      </c>
      <c r="B1059" s="7" t="str">
        <f t="shared" si="63"/>
        <v>0402</v>
      </c>
      <c r="C1059" s="7" t="s">
        <v>54</v>
      </c>
      <c r="D1059" s="7" t="s">
        <v>52</v>
      </c>
      <c r="E1059" s="7" t="str">
        <f>"李二莉"</f>
        <v>李二莉</v>
      </c>
      <c r="F1059" s="7" t="s">
        <v>53</v>
      </c>
      <c r="G1059" s="7"/>
    </row>
    <row r="1060" ht="18" customHeight="1" spans="1:7">
      <c r="A1060" s="7">
        <v>1058</v>
      </c>
      <c r="B1060" s="7" t="str">
        <f t="shared" si="63"/>
        <v>0402</v>
      </c>
      <c r="C1060" s="7" t="s">
        <v>54</v>
      </c>
      <c r="D1060" s="7" t="s">
        <v>52</v>
      </c>
      <c r="E1060" s="7" t="str">
        <f>"韦黎丽"</f>
        <v>韦黎丽</v>
      </c>
      <c r="F1060" s="7" t="s">
        <v>53</v>
      </c>
      <c r="G1060" s="7"/>
    </row>
    <row r="1061" ht="18" customHeight="1" spans="1:7">
      <c r="A1061" s="7">
        <v>1059</v>
      </c>
      <c r="B1061" s="7" t="str">
        <f t="shared" si="63"/>
        <v>0402</v>
      </c>
      <c r="C1061" s="7" t="s">
        <v>54</v>
      </c>
      <c r="D1061" s="7" t="s">
        <v>52</v>
      </c>
      <c r="E1061" s="7" t="str">
        <f>"郭路路"</f>
        <v>郭路路</v>
      </c>
      <c r="F1061" s="7" t="s">
        <v>53</v>
      </c>
      <c r="G1061" s="7"/>
    </row>
    <row r="1062" ht="18" customHeight="1" spans="1:7">
      <c r="A1062" s="7">
        <v>1060</v>
      </c>
      <c r="B1062" s="7" t="str">
        <f t="shared" si="63"/>
        <v>0402</v>
      </c>
      <c r="C1062" s="7" t="s">
        <v>54</v>
      </c>
      <c r="D1062" s="7" t="s">
        <v>52</v>
      </c>
      <c r="E1062" s="7" t="str">
        <f>"刘海惠"</f>
        <v>刘海惠</v>
      </c>
      <c r="F1062" s="7" t="s">
        <v>53</v>
      </c>
      <c r="G1062" s="7"/>
    </row>
    <row r="1063" ht="18" customHeight="1" spans="1:7">
      <c r="A1063" s="7">
        <v>1061</v>
      </c>
      <c r="B1063" s="7" t="str">
        <f t="shared" si="63"/>
        <v>0402</v>
      </c>
      <c r="C1063" s="7" t="s">
        <v>54</v>
      </c>
      <c r="D1063" s="7" t="s">
        <v>52</v>
      </c>
      <c r="E1063" s="7" t="str">
        <f>"卢瑾"</f>
        <v>卢瑾</v>
      </c>
      <c r="F1063" s="7" t="s">
        <v>53</v>
      </c>
      <c r="G1063" s="7"/>
    </row>
    <row r="1064" ht="18" customHeight="1" spans="1:7">
      <c r="A1064" s="7">
        <v>1062</v>
      </c>
      <c r="B1064" s="7" t="str">
        <f t="shared" si="63"/>
        <v>0402</v>
      </c>
      <c r="C1064" s="7" t="s">
        <v>54</v>
      </c>
      <c r="D1064" s="7" t="s">
        <v>52</v>
      </c>
      <c r="E1064" s="7" t="str">
        <f>"顾诗宇"</f>
        <v>顾诗宇</v>
      </c>
      <c r="F1064" s="7" t="s">
        <v>53</v>
      </c>
      <c r="G1064" s="7"/>
    </row>
    <row r="1065" ht="18" customHeight="1" spans="1:7">
      <c r="A1065" s="7">
        <v>1063</v>
      </c>
      <c r="B1065" s="7" t="str">
        <f t="shared" si="63"/>
        <v>0402</v>
      </c>
      <c r="C1065" s="7" t="s">
        <v>54</v>
      </c>
      <c r="D1065" s="7" t="s">
        <v>52</v>
      </c>
      <c r="E1065" s="7" t="str">
        <f>"严和琴"</f>
        <v>严和琴</v>
      </c>
      <c r="F1065" s="7" t="s">
        <v>53</v>
      </c>
      <c r="G1065" s="7"/>
    </row>
    <row r="1066" ht="18" customHeight="1" spans="1:7">
      <c r="A1066" s="7">
        <v>1064</v>
      </c>
      <c r="B1066" s="7" t="str">
        <f t="shared" si="63"/>
        <v>0402</v>
      </c>
      <c r="C1066" s="7" t="s">
        <v>54</v>
      </c>
      <c r="D1066" s="7" t="s">
        <v>52</v>
      </c>
      <c r="E1066" s="7" t="str">
        <f>"车文斌"</f>
        <v>车文斌</v>
      </c>
      <c r="F1066" s="7" t="s">
        <v>53</v>
      </c>
      <c r="G1066" s="7"/>
    </row>
    <row r="1067" ht="18" customHeight="1" spans="1:7">
      <c r="A1067" s="7">
        <v>1065</v>
      </c>
      <c r="B1067" s="7" t="str">
        <f t="shared" si="63"/>
        <v>0402</v>
      </c>
      <c r="C1067" s="7" t="s">
        <v>54</v>
      </c>
      <c r="D1067" s="7" t="s">
        <v>52</v>
      </c>
      <c r="E1067" s="7" t="str">
        <f>"李雨菲"</f>
        <v>李雨菲</v>
      </c>
      <c r="F1067" s="7" t="s">
        <v>53</v>
      </c>
      <c r="G1067" s="7"/>
    </row>
    <row r="1068" ht="18" customHeight="1" spans="1:7">
      <c r="A1068" s="7">
        <v>1066</v>
      </c>
      <c r="B1068" s="7" t="str">
        <f t="shared" si="63"/>
        <v>0402</v>
      </c>
      <c r="C1068" s="7" t="s">
        <v>54</v>
      </c>
      <c r="D1068" s="7" t="s">
        <v>52</v>
      </c>
      <c r="E1068" s="7" t="str">
        <f>"梁思凤"</f>
        <v>梁思凤</v>
      </c>
      <c r="F1068" s="7" t="s">
        <v>53</v>
      </c>
      <c r="G1068" s="7"/>
    </row>
    <row r="1069" ht="18" customHeight="1" spans="1:7">
      <c r="A1069" s="7">
        <v>1067</v>
      </c>
      <c r="B1069" s="7" t="str">
        <f t="shared" si="63"/>
        <v>0402</v>
      </c>
      <c r="C1069" s="7" t="s">
        <v>54</v>
      </c>
      <c r="D1069" s="7" t="s">
        <v>52</v>
      </c>
      <c r="E1069" s="7" t="str">
        <f>"马佳璐"</f>
        <v>马佳璐</v>
      </c>
      <c r="F1069" s="7" t="s">
        <v>53</v>
      </c>
      <c r="G1069" s="7"/>
    </row>
    <row r="1070" ht="18" customHeight="1" spans="1:7">
      <c r="A1070" s="7">
        <v>1068</v>
      </c>
      <c r="B1070" s="7" t="str">
        <f t="shared" si="63"/>
        <v>0402</v>
      </c>
      <c r="C1070" s="7" t="s">
        <v>54</v>
      </c>
      <c r="D1070" s="7" t="s">
        <v>52</v>
      </c>
      <c r="E1070" s="7" t="str">
        <f>"亢夏桐"</f>
        <v>亢夏桐</v>
      </c>
      <c r="F1070" s="7" t="s">
        <v>53</v>
      </c>
      <c r="G1070" s="7"/>
    </row>
    <row r="1071" ht="18" customHeight="1" spans="1:7">
      <c r="A1071" s="7">
        <v>1069</v>
      </c>
      <c r="B1071" s="7" t="str">
        <f t="shared" si="63"/>
        <v>0402</v>
      </c>
      <c r="C1071" s="7" t="s">
        <v>54</v>
      </c>
      <c r="D1071" s="7" t="s">
        <v>52</v>
      </c>
      <c r="E1071" s="7" t="str">
        <f>"马天娇"</f>
        <v>马天娇</v>
      </c>
      <c r="F1071" s="7" t="s">
        <v>53</v>
      </c>
      <c r="G1071" s="7"/>
    </row>
    <row r="1072" ht="18" customHeight="1" spans="1:7">
      <c r="A1072" s="7">
        <v>1070</v>
      </c>
      <c r="B1072" s="7" t="str">
        <f t="shared" si="63"/>
        <v>0402</v>
      </c>
      <c r="C1072" s="7" t="s">
        <v>54</v>
      </c>
      <c r="D1072" s="7" t="s">
        <v>52</v>
      </c>
      <c r="E1072" s="7" t="str">
        <f>"陈霞飞"</f>
        <v>陈霞飞</v>
      </c>
      <c r="F1072" s="7" t="s">
        <v>53</v>
      </c>
      <c r="G1072" s="7"/>
    </row>
    <row r="1073" ht="18" customHeight="1" spans="1:7">
      <c r="A1073" s="7">
        <v>1071</v>
      </c>
      <c r="B1073" s="7" t="str">
        <f t="shared" si="63"/>
        <v>0402</v>
      </c>
      <c r="C1073" s="7" t="s">
        <v>54</v>
      </c>
      <c r="D1073" s="7" t="s">
        <v>52</v>
      </c>
      <c r="E1073" s="7" t="str">
        <f>"陈智燕"</f>
        <v>陈智燕</v>
      </c>
      <c r="F1073" s="7" t="s">
        <v>53</v>
      </c>
      <c r="G1073" s="7"/>
    </row>
    <row r="1074" ht="18" customHeight="1" spans="1:7">
      <c r="A1074" s="7">
        <v>1072</v>
      </c>
      <c r="B1074" s="7" t="str">
        <f t="shared" si="63"/>
        <v>0402</v>
      </c>
      <c r="C1074" s="7" t="s">
        <v>54</v>
      </c>
      <c r="D1074" s="7" t="s">
        <v>52</v>
      </c>
      <c r="E1074" s="7" t="str">
        <f>"陈初春"</f>
        <v>陈初春</v>
      </c>
      <c r="F1074" s="7" t="s">
        <v>53</v>
      </c>
      <c r="G1074" s="7"/>
    </row>
    <row r="1075" ht="18" customHeight="1" spans="1:7">
      <c r="A1075" s="7">
        <v>1073</v>
      </c>
      <c r="B1075" s="7" t="str">
        <f t="shared" si="63"/>
        <v>0402</v>
      </c>
      <c r="C1075" s="7" t="s">
        <v>54</v>
      </c>
      <c r="D1075" s="7" t="s">
        <v>52</v>
      </c>
      <c r="E1075" s="7" t="str">
        <f>"吉福桑"</f>
        <v>吉福桑</v>
      </c>
      <c r="F1075" s="7" t="s">
        <v>53</v>
      </c>
      <c r="G1075" s="7"/>
    </row>
    <row r="1076" ht="18" customHeight="1" spans="1:7">
      <c r="A1076" s="7">
        <v>1074</v>
      </c>
      <c r="B1076" s="7" t="str">
        <f t="shared" si="63"/>
        <v>0402</v>
      </c>
      <c r="C1076" s="7" t="s">
        <v>54</v>
      </c>
      <c r="D1076" s="7" t="s">
        <v>52</v>
      </c>
      <c r="E1076" s="7" t="str">
        <f>"李欣航"</f>
        <v>李欣航</v>
      </c>
      <c r="F1076" s="7" t="s">
        <v>53</v>
      </c>
      <c r="G1076" s="7"/>
    </row>
    <row r="1077" ht="18" customHeight="1" spans="1:7">
      <c r="A1077" s="7">
        <v>1075</v>
      </c>
      <c r="B1077" s="7" t="str">
        <f t="shared" si="63"/>
        <v>0402</v>
      </c>
      <c r="C1077" s="7" t="s">
        <v>54</v>
      </c>
      <c r="D1077" s="7" t="s">
        <v>52</v>
      </c>
      <c r="E1077" s="7" t="str">
        <f>"练良澄"</f>
        <v>练良澄</v>
      </c>
      <c r="F1077" s="7" t="s">
        <v>53</v>
      </c>
      <c r="G1077" s="7"/>
    </row>
    <row r="1078" ht="18" customHeight="1" spans="1:7">
      <c r="A1078" s="7">
        <v>1076</v>
      </c>
      <c r="B1078" s="7" t="str">
        <f t="shared" si="63"/>
        <v>0402</v>
      </c>
      <c r="C1078" s="7" t="s">
        <v>54</v>
      </c>
      <c r="D1078" s="7" t="s">
        <v>52</v>
      </c>
      <c r="E1078" s="7" t="str">
        <f>"徐瑞阳"</f>
        <v>徐瑞阳</v>
      </c>
      <c r="F1078" s="7" t="s">
        <v>53</v>
      </c>
      <c r="G1078" s="7"/>
    </row>
    <row r="1079" ht="18" customHeight="1" spans="1:7">
      <c r="A1079" s="7">
        <v>1077</v>
      </c>
      <c r="B1079" s="7" t="str">
        <f t="shared" si="63"/>
        <v>0402</v>
      </c>
      <c r="C1079" s="7" t="s">
        <v>54</v>
      </c>
      <c r="D1079" s="7" t="s">
        <v>52</v>
      </c>
      <c r="E1079" s="7" t="str">
        <f>"范若菲"</f>
        <v>范若菲</v>
      </c>
      <c r="F1079" s="7" t="s">
        <v>53</v>
      </c>
      <c r="G1079" s="7"/>
    </row>
    <row r="1080" ht="18" customHeight="1" spans="1:7">
      <c r="A1080" s="7">
        <v>1078</v>
      </c>
      <c r="B1080" s="7" t="str">
        <f t="shared" si="63"/>
        <v>0402</v>
      </c>
      <c r="C1080" s="7" t="s">
        <v>54</v>
      </c>
      <c r="D1080" s="7" t="s">
        <v>52</v>
      </c>
      <c r="E1080" s="7" t="str">
        <f>"王美璇"</f>
        <v>王美璇</v>
      </c>
      <c r="F1080" s="7" t="s">
        <v>53</v>
      </c>
      <c r="G1080" s="7"/>
    </row>
    <row r="1081" ht="18" customHeight="1" spans="1:7">
      <c r="A1081" s="7">
        <v>1079</v>
      </c>
      <c r="B1081" s="7" t="str">
        <f t="shared" si="63"/>
        <v>0402</v>
      </c>
      <c r="C1081" s="7" t="s">
        <v>54</v>
      </c>
      <c r="D1081" s="7" t="s">
        <v>52</v>
      </c>
      <c r="E1081" s="7" t="str">
        <f>"陈露露"</f>
        <v>陈露露</v>
      </c>
      <c r="F1081" s="7" t="s">
        <v>53</v>
      </c>
      <c r="G1081" s="7"/>
    </row>
    <row r="1082" ht="18" customHeight="1" spans="1:7">
      <c r="A1082" s="7">
        <v>1080</v>
      </c>
      <c r="B1082" s="7" t="str">
        <f t="shared" si="63"/>
        <v>0402</v>
      </c>
      <c r="C1082" s="7" t="s">
        <v>54</v>
      </c>
      <c r="D1082" s="7" t="s">
        <v>52</v>
      </c>
      <c r="E1082" s="7" t="str">
        <f>"王欢"</f>
        <v>王欢</v>
      </c>
      <c r="F1082" s="7" t="s">
        <v>53</v>
      </c>
      <c r="G1082" s="7"/>
    </row>
    <row r="1083" ht="18" customHeight="1" spans="1:7">
      <c r="A1083" s="7">
        <v>1081</v>
      </c>
      <c r="B1083" s="7" t="str">
        <f t="shared" si="63"/>
        <v>0402</v>
      </c>
      <c r="C1083" s="7" t="s">
        <v>54</v>
      </c>
      <c r="D1083" s="7" t="s">
        <v>52</v>
      </c>
      <c r="E1083" s="7" t="str">
        <f>"郑方圆"</f>
        <v>郑方圆</v>
      </c>
      <c r="F1083" s="7" t="s">
        <v>53</v>
      </c>
      <c r="G1083" s="7"/>
    </row>
    <row r="1084" ht="18" customHeight="1" spans="1:7">
      <c r="A1084" s="7">
        <v>1082</v>
      </c>
      <c r="B1084" s="7" t="str">
        <f t="shared" si="63"/>
        <v>0402</v>
      </c>
      <c r="C1084" s="7" t="s">
        <v>54</v>
      </c>
      <c r="D1084" s="7" t="s">
        <v>52</v>
      </c>
      <c r="E1084" s="7" t="str">
        <f>"吕旭阳"</f>
        <v>吕旭阳</v>
      </c>
      <c r="F1084" s="7" t="s">
        <v>53</v>
      </c>
      <c r="G1084" s="7"/>
    </row>
    <row r="1085" ht="18" customHeight="1" spans="1:7">
      <c r="A1085" s="7">
        <v>1083</v>
      </c>
      <c r="B1085" s="7" t="str">
        <f t="shared" si="63"/>
        <v>0402</v>
      </c>
      <c r="C1085" s="7" t="s">
        <v>54</v>
      </c>
      <c r="D1085" s="7" t="s">
        <v>52</v>
      </c>
      <c r="E1085" s="7" t="str">
        <f>"朱深宇"</f>
        <v>朱深宇</v>
      </c>
      <c r="F1085" s="7" t="s">
        <v>53</v>
      </c>
      <c r="G1085" s="7"/>
    </row>
    <row r="1086" ht="18" customHeight="1" spans="1:7">
      <c r="A1086" s="7">
        <v>1084</v>
      </c>
      <c r="B1086" s="7" t="str">
        <f t="shared" si="63"/>
        <v>0402</v>
      </c>
      <c r="C1086" s="7" t="s">
        <v>54</v>
      </c>
      <c r="D1086" s="7" t="s">
        <v>52</v>
      </c>
      <c r="E1086" s="7" t="str">
        <f>"王莉莎"</f>
        <v>王莉莎</v>
      </c>
      <c r="F1086" s="7" t="s">
        <v>53</v>
      </c>
      <c r="G1086" s="7"/>
    </row>
    <row r="1087" ht="18" customHeight="1" spans="1:7">
      <c r="A1087" s="7">
        <v>1085</v>
      </c>
      <c r="B1087" s="7" t="str">
        <f t="shared" ref="B1087:B1150" si="64">"0402"</f>
        <v>0402</v>
      </c>
      <c r="C1087" s="7" t="s">
        <v>54</v>
      </c>
      <c r="D1087" s="7" t="s">
        <v>52</v>
      </c>
      <c r="E1087" s="7" t="str">
        <f>"贾素行"</f>
        <v>贾素行</v>
      </c>
      <c r="F1087" s="7" t="s">
        <v>53</v>
      </c>
      <c r="G1087" s="7"/>
    </row>
    <row r="1088" ht="18" customHeight="1" spans="1:7">
      <c r="A1088" s="7">
        <v>1086</v>
      </c>
      <c r="B1088" s="7" t="str">
        <f t="shared" si="64"/>
        <v>0402</v>
      </c>
      <c r="C1088" s="7" t="s">
        <v>54</v>
      </c>
      <c r="D1088" s="7" t="s">
        <v>52</v>
      </c>
      <c r="E1088" s="7" t="str">
        <f>"赵乐川"</f>
        <v>赵乐川</v>
      </c>
      <c r="F1088" s="7" t="s">
        <v>53</v>
      </c>
      <c r="G1088" s="7"/>
    </row>
    <row r="1089" ht="18" customHeight="1" spans="1:7">
      <c r="A1089" s="7">
        <v>1087</v>
      </c>
      <c r="B1089" s="7" t="str">
        <f t="shared" si="64"/>
        <v>0402</v>
      </c>
      <c r="C1089" s="7" t="s">
        <v>54</v>
      </c>
      <c r="D1089" s="7" t="s">
        <v>52</v>
      </c>
      <c r="E1089" s="7" t="str">
        <f>"邢增婷"</f>
        <v>邢增婷</v>
      </c>
      <c r="F1089" s="7" t="s">
        <v>53</v>
      </c>
      <c r="G1089" s="7"/>
    </row>
    <row r="1090" ht="18" customHeight="1" spans="1:7">
      <c r="A1090" s="7">
        <v>1088</v>
      </c>
      <c r="B1090" s="7" t="str">
        <f t="shared" si="64"/>
        <v>0402</v>
      </c>
      <c r="C1090" s="7" t="s">
        <v>54</v>
      </c>
      <c r="D1090" s="7" t="s">
        <v>52</v>
      </c>
      <c r="E1090" s="7" t="str">
        <f>"刘紫彤"</f>
        <v>刘紫彤</v>
      </c>
      <c r="F1090" s="7" t="s">
        <v>53</v>
      </c>
      <c r="G1090" s="7"/>
    </row>
    <row r="1091" ht="18" customHeight="1" spans="1:7">
      <c r="A1091" s="7">
        <v>1089</v>
      </c>
      <c r="B1091" s="7" t="str">
        <f t="shared" si="64"/>
        <v>0402</v>
      </c>
      <c r="C1091" s="7" t="s">
        <v>54</v>
      </c>
      <c r="D1091" s="7" t="s">
        <v>52</v>
      </c>
      <c r="E1091" s="9" t="str">
        <f>"杨帆"</f>
        <v>杨帆</v>
      </c>
      <c r="F1091" s="7" t="s">
        <v>53</v>
      </c>
      <c r="G1091" s="7" t="str">
        <f>"092426"</f>
        <v>092426</v>
      </c>
    </row>
    <row r="1092" ht="18" customHeight="1" spans="1:7">
      <c r="A1092" s="7">
        <v>1090</v>
      </c>
      <c r="B1092" s="7" t="str">
        <f t="shared" si="64"/>
        <v>0402</v>
      </c>
      <c r="C1092" s="7" t="s">
        <v>54</v>
      </c>
      <c r="D1092" s="7" t="s">
        <v>52</v>
      </c>
      <c r="E1092" s="7" t="str">
        <f>"范平可"</f>
        <v>范平可</v>
      </c>
      <c r="F1092" s="7" t="s">
        <v>53</v>
      </c>
      <c r="G1092" s="7"/>
    </row>
    <row r="1093" ht="18" customHeight="1" spans="1:7">
      <c r="A1093" s="7">
        <v>1091</v>
      </c>
      <c r="B1093" s="7" t="str">
        <f t="shared" si="64"/>
        <v>0402</v>
      </c>
      <c r="C1093" s="7" t="s">
        <v>54</v>
      </c>
      <c r="D1093" s="7" t="s">
        <v>52</v>
      </c>
      <c r="E1093" s="7" t="str">
        <f>"丁玉纯"</f>
        <v>丁玉纯</v>
      </c>
      <c r="F1093" s="7" t="s">
        <v>53</v>
      </c>
      <c r="G1093" s="7"/>
    </row>
    <row r="1094" ht="18" customHeight="1" spans="1:7">
      <c r="A1094" s="7">
        <v>1092</v>
      </c>
      <c r="B1094" s="7" t="str">
        <f t="shared" si="64"/>
        <v>0402</v>
      </c>
      <c r="C1094" s="7" t="s">
        <v>54</v>
      </c>
      <c r="D1094" s="7" t="s">
        <v>52</v>
      </c>
      <c r="E1094" s="7" t="str">
        <f>"尹文静"</f>
        <v>尹文静</v>
      </c>
      <c r="F1094" s="7" t="s">
        <v>53</v>
      </c>
      <c r="G1094" s="7"/>
    </row>
    <row r="1095" ht="18" customHeight="1" spans="1:7">
      <c r="A1095" s="7">
        <v>1093</v>
      </c>
      <c r="B1095" s="7" t="str">
        <f t="shared" si="64"/>
        <v>0402</v>
      </c>
      <c r="C1095" s="7" t="s">
        <v>54</v>
      </c>
      <c r="D1095" s="7" t="s">
        <v>52</v>
      </c>
      <c r="E1095" s="7" t="str">
        <f>"肖晔"</f>
        <v>肖晔</v>
      </c>
      <c r="F1095" s="7" t="s">
        <v>53</v>
      </c>
      <c r="G1095" s="7"/>
    </row>
    <row r="1096" ht="18" customHeight="1" spans="1:7">
      <c r="A1096" s="7">
        <v>1094</v>
      </c>
      <c r="B1096" s="7" t="str">
        <f t="shared" si="64"/>
        <v>0402</v>
      </c>
      <c r="C1096" s="7" t="s">
        <v>54</v>
      </c>
      <c r="D1096" s="7" t="s">
        <v>52</v>
      </c>
      <c r="E1096" s="7" t="str">
        <f>"陈思彤"</f>
        <v>陈思彤</v>
      </c>
      <c r="F1096" s="7" t="s">
        <v>53</v>
      </c>
      <c r="G1096" s="7"/>
    </row>
    <row r="1097" ht="18" customHeight="1" spans="1:7">
      <c r="A1097" s="7">
        <v>1095</v>
      </c>
      <c r="B1097" s="7" t="str">
        <f t="shared" si="64"/>
        <v>0402</v>
      </c>
      <c r="C1097" s="7" t="s">
        <v>54</v>
      </c>
      <c r="D1097" s="7" t="s">
        <v>52</v>
      </c>
      <c r="E1097" s="7" t="str">
        <f>"林玉栏"</f>
        <v>林玉栏</v>
      </c>
      <c r="F1097" s="7" t="s">
        <v>53</v>
      </c>
      <c r="G1097" s="7"/>
    </row>
    <row r="1098" ht="18" customHeight="1" spans="1:7">
      <c r="A1098" s="7">
        <v>1096</v>
      </c>
      <c r="B1098" s="7" t="str">
        <f t="shared" si="64"/>
        <v>0402</v>
      </c>
      <c r="C1098" s="7" t="s">
        <v>54</v>
      </c>
      <c r="D1098" s="7" t="s">
        <v>52</v>
      </c>
      <c r="E1098" s="7" t="str">
        <f>"黎淑慧"</f>
        <v>黎淑慧</v>
      </c>
      <c r="F1098" s="7" t="s">
        <v>53</v>
      </c>
      <c r="G1098" s="7"/>
    </row>
    <row r="1099" ht="18" customHeight="1" spans="1:7">
      <c r="A1099" s="7">
        <v>1097</v>
      </c>
      <c r="B1099" s="7" t="str">
        <f t="shared" si="64"/>
        <v>0402</v>
      </c>
      <c r="C1099" s="7" t="s">
        <v>54</v>
      </c>
      <c r="D1099" s="7" t="s">
        <v>52</v>
      </c>
      <c r="E1099" s="7" t="str">
        <f>"苏佳"</f>
        <v>苏佳</v>
      </c>
      <c r="F1099" s="7" t="s">
        <v>53</v>
      </c>
      <c r="G1099" s="7"/>
    </row>
    <row r="1100" ht="18" customHeight="1" spans="1:7">
      <c r="A1100" s="7">
        <v>1098</v>
      </c>
      <c r="B1100" s="7" t="str">
        <f t="shared" si="64"/>
        <v>0402</v>
      </c>
      <c r="C1100" s="7" t="s">
        <v>54</v>
      </c>
      <c r="D1100" s="7" t="s">
        <v>52</v>
      </c>
      <c r="E1100" s="7" t="str">
        <f>"何彬嫦"</f>
        <v>何彬嫦</v>
      </c>
      <c r="F1100" s="7" t="s">
        <v>53</v>
      </c>
      <c r="G1100" s="7"/>
    </row>
    <row r="1101" ht="18" customHeight="1" spans="1:7">
      <c r="A1101" s="7">
        <v>1099</v>
      </c>
      <c r="B1101" s="7" t="str">
        <f t="shared" si="64"/>
        <v>0402</v>
      </c>
      <c r="C1101" s="7" t="s">
        <v>54</v>
      </c>
      <c r="D1101" s="7" t="s">
        <v>52</v>
      </c>
      <c r="E1101" s="7" t="str">
        <f>"王建超"</f>
        <v>王建超</v>
      </c>
      <c r="F1101" s="7" t="s">
        <v>53</v>
      </c>
      <c r="G1101" s="7"/>
    </row>
    <row r="1102" ht="18" customHeight="1" spans="1:7">
      <c r="A1102" s="7">
        <v>1100</v>
      </c>
      <c r="B1102" s="7" t="str">
        <f t="shared" si="64"/>
        <v>0402</v>
      </c>
      <c r="C1102" s="7" t="s">
        <v>54</v>
      </c>
      <c r="D1102" s="7" t="s">
        <v>52</v>
      </c>
      <c r="E1102" s="7" t="str">
        <f>"田玉杰"</f>
        <v>田玉杰</v>
      </c>
      <c r="F1102" s="7" t="s">
        <v>53</v>
      </c>
      <c r="G1102" s="7"/>
    </row>
    <row r="1103" ht="18" customHeight="1" spans="1:7">
      <c r="A1103" s="7">
        <v>1101</v>
      </c>
      <c r="B1103" s="7" t="str">
        <f t="shared" si="64"/>
        <v>0402</v>
      </c>
      <c r="C1103" s="7" t="s">
        <v>54</v>
      </c>
      <c r="D1103" s="7" t="s">
        <v>52</v>
      </c>
      <c r="E1103" s="7" t="str">
        <f>"张楚楚"</f>
        <v>张楚楚</v>
      </c>
      <c r="F1103" s="7" t="s">
        <v>53</v>
      </c>
      <c r="G1103" s="7"/>
    </row>
    <row r="1104" ht="18" customHeight="1" spans="1:7">
      <c r="A1104" s="7">
        <v>1102</v>
      </c>
      <c r="B1104" s="7" t="str">
        <f t="shared" si="64"/>
        <v>0402</v>
      </c>
      <c r="C1104" s="7" t="s">
        <v>54</v>
      </c>
      <c r="D1104" s="7" t="s">
        <v>52</v>
      </c>
      <c r="E1104" s="7" t="str">
        <f>"王春山"</f>
        <v>王春山</v>
      </c>
      <c r="F1104" s="7" t="s">
        <v>53</v>
      </c>
      <c r="G1104" s="7"/>
    </row>
    <row r="1105" ht="18" customHeight="1" spans="1:7">
      <c r="A1105" s="7">
        <v>1103</v>
      </c>
      <c r="B1105" s="7" t="str">
        <f t="shared" si="64"/>
        <v>0402</v>
      </c>
      <c r="C1105" s="7" t="s">
        <v>54</v>
      </c>
      <c r="D1105" s="7" t="s">
        <v>52</v>
      </c>
      <c r="E1105" s="7" t="str">
        <f>"乔沛琳"</f>
        <v>乔沛琳</v>
      </c>
      <c r="F1105" s="7" t="s">
        <v>53</v>
      </c>
      <c r="G1105" s="7"/>
    </row>
    <row r="1106" ht="18" customHeight="1" spans="1:7">
      <c r="A1106" s="7">
        <v>1104</v>
      </c>
      <c r="B1106" s="7" t="str">
        <f t="shared" si="64"/>
        <v>0402</v>
      </c>
      <c r="C1106" s="7" t="s">
        <v>54</v>
      </c>
      <c r="D1106" s="7" t="s">
        <v>52</v>
      </c>
      <c r="E1106" s="7" t="str">
        <f>"刘东阳"</f>
        <v>刘东阳</v>
      </c>
      <c r="F1106" s="7" t="s">
        <v>53</v>
      </c>
      <c r="G1106" s="7"/>
    </row>
    <row r="1107" ht="18" customHeight="1" spans="1:7">
      <c r="A1107" s="7">
        <v>1105</v>
      </c>
      <c r="B1107" s="7" t="str">
        <f t="shared" si="64"/>
        <v>0402</v>
      </c>
      <c r="C1107" s="7" t="s">
        <v>54</v>
      </c>
      <c r="D1107" s="7" t="s">
        <v>52</v>
      </c>
      <c r="E1107" s="7" t="str">
        <f>"赵莹"</f>
        <v>赵莹</v>
      </c>
      <c r="F1107" s="7" t="s">
        <v>53</v>
      </c>
      <c r="G1107" s="7"/>
    </row>
    <row r="1108" ht="18" customHeight="1" spans="1:7">
      <c r="A1108" s="7">
        <v>1106</v>
      </c>
      <c r="B1108" s="7" t="str">
        <f t="shared" si="64"/>
        <v>0402</v>
      </c>
      <c r="C1108" s="7" t="s">
        <v>54</v>
      </c>
      <c r="D1108" s="7" t="s">
        <v>52</v>
      </c>
      <c r="E1108" s="7" t="str">
        <f>"莫顺金"</f>
        <v>莫顺金</v>
      </c>
      <c r="F1108" s="7" t="s">
        <v>53</v>
      </c>
      <c r="G1108" s="7"/>
    </row>
    <row r="1109" ht="18" customHeight="1" spans="1:7">
      <c r="A1109" s="7">
        <v>1107</v>
      </c>
      <c r="B1109" s="7" t="str">
        <f t="shared" si="64"/>
        <v>0402</v>
      </c>
      <c r="C1109" s="7" t="s">
        <v>54</v>
      </c>
      <c r="D1109" s="7" t="s">
        <v>52</v>
      </c>
      <c r="E1109" s="7" t="str">
        <f>"原佳"</f>
        <v>原佳</v>
      </c>
      <c r="F1109" s="7" t="s">
        <v>53</v>
      </c>
      <c r="G1109" s="7"/>
    </row>
    <row r="1110" ht="18" customHeight="1" spans="1:7">
      <c r="A1110" s="7">
        <v>1108</v>
      </c>
      <c r="B1110" s="7" t="str">
        <f t="shared" si="64"/>
        <v>0402</v>
      </c>
      <c r="C1110" s="7" t="s">
        <v>54</v>
      </c>
      <c r="D1110" s="7" t="s">
        <v>52</v>
      </c>
      <c r="E1110" s="7" t="str">
        <f>"谷雨"</f>
        <v>谷雨</v>
      </c>
      <c r="F1110" s="7" t="s">
        <v>53</v>
      </c>
      <c r="G1110" s="7"/>
    </row>
    <row r="1111" ht="18" customHeight="1" spans="1:7">
      <c r="A1111" s="7">
        <v>1109</v>
      </c>
      <c r="B1111" s="7" t="str">
        <f t="shared" si="64"/>
        <v>0402</v>
      </c>
      <c r="C1111" s="7" t="s">
        <v>54</v>
      </c>
      <c r="D1111" s="7" t="s">
        <v>52</v>
      </c>
      <c r="E1111" s="7" t="str">
        <f>"王小芳"</f>
        <v>王小芳</v>
      </c>
      <c r="F1111" s="7" t="s">
        <v>53</v>
      </c>
      <c r="G1111" s="7"/>
    </row>
    <row r="1112" ht="18" customHeight="1" spans="1:7">
      <c r="A1112" s="7">
        <v>1110</v>
      </c>
      <c r="B1112" s="7" t="str">
        <f t="shared" si="64"/>
        <v>0402</v>
      </c>
      <c r="C1112" s="7" t="s">
        <v>54</v>
      </c>
      <c r="D1112" s="7" t="s">
        <v>52</v>
      </c>
      <c r="E1112" s="7" t="str">
        <f>"汪金熙"</f>
        <v>汪金熙</v>
      </c>
      <c r="F1112" s="7" t="s">
        <v>53</v>
      </c>
      <c r="G1112" s="7"/>
    </row>
    <row r="1113" ht="18" customHeight="1" spans="1:7">
      <c r="A1113" s="7">
        <v>1111</v>
      </c>
      <c r="B1113" s="7" t="str">
        <f t="shared" si="64"/>
        <v>0402</v>
      </c>
      <c r="C1113" s="7" t="s">
        <v>54</v>
      </c>
      <c r="D1113" s="7" t="s">
        <v>52</v>
      </c>
      <c r="E1113" s="7" t="str">
        <f>"邱莹莹"</f>
        <v>邱莹莹</v>
      </c>
      <c r="F1113" s="7" t="s">
        <v>53</v>
      </c>
      <c r="G1113" s="7"/>
    </row>
    <row r="1114" ht="18" customHeight="1" spans="1:7">
      <c r="A1114" s="7">
        <v>1112</v>
      </c>
      <c r="B1114" s="7" t="str">
        <f t="shared" si="64"/>
        <v>0402</v>
      </c>
      <c r="C1114" s="7" t="s">
        <v>54</v>
      </c>
      <c r="D1114" s="7" t="s">
        <v>52</v>
      </c>
      <c r="E1114" s="7" t="str">
        <f>"易文海"</f>
        <v>易文海</v>
      </c>
      <c r="F1114" s="7" t="s">
        <v>53</v>
      </c>
      <c r="G1114" s="7"/>
    </row>
    <row r="1115" ht="18" customHeight="1" spans="1:7">
      <c r="A1115" s="7">
        <v>1113</v>
      </c>
      <c r="B1115" s="7" t="str">
        <f t="shared" si="64"/>
        <v>0402</v>
      </c>
      <c r="C1115" s="7" t="s">
        <v>54</v>
      </c>
      <c r="D1115" s="7" t="s">
        <v>52</v>
      </c>
      <c r="E1115" s="7" t="str">
        <f>"王文欢"</f>
        <v>王文欢</v>
      </c>
      <c r="F1115" s="7" t="s">
        <v>53</v>
      </c>
      <c r="G1115" s="7"/>
    </row>
    <row r="1116" ht="18" customHeight="1" spans="1:7">
      <c r="A1116" s="7">
        <v>1114</v>
      </c>
      <c r="B1116" s="7" t="str">
        <f t="shared" si="64"/>
        <v>0402</v>
      </c>
      <c r="C1116" s="7" t="s">
        <v>54</v>
      </c>
      <c r="D1116" s="7" t="s">
        <v>52</v>
      </c>
      <c r="E1116" s="7" t="str">
        <f>"冯君玉"</f>
        <v>冯君玉</v>
      </c>
      <c r="F1116" s="7" t="s">
        <v>53</v>
      </c>
      <c r="G1116" s="7"/>
    </row>
    <row r="1117" ht="18" customHeight="1" spans="1:7">
      <c r="A1117" s="7">
        <v>1115</v>
      </c>
      <c r="B1117" s="7" t="str">
        <f t="shared" si="64"/>
        <v>0402</v>
      </c>
      <c r="C1117" s="7" t="s">
        <v>54</v>
      </c>
      <c r="D1117" s="7" t="s">
        <v>52</v>
      </c>
      <c r="E1117" s="7" t="str">
        <f>"张玉洁"</f>
        <v>张玉洁</v>
      </c>
      <c r="F1117" s="7" t="s">
        <v>53</v>
      </c>
      <c r="G1117" s="7"/>
    </row>
    <row r="1118" ht="18" customHeight="1" spans="1:7">
      <c r="A1118" s="7">
        <v>1116</v>
      </c>
      <c r="B1118" s="7" t="str">
        <f t="shared" si="64"/>
        <v>0402</v>
      </c>
      <c r="C1118" s="7" t="s">
        <v>54</v>
      </c>
      <c r="D1118" s="7" t="s">
        <v>52</v>
      </c>
      <c r="E1118" s="7" t="str">
        <f>"黄泰山"</f>
        <v>黄泰山</v>
      </c>
      <c r="F1118" s="7" t="s">
        <v>53</v>
      </c>
      <c r="G1118" s="7"/>
    </row>
    <row r="1119" ht="18" customHeight="1" spans="1:7">
      <c r="A1119" s="7">
        <v>1117</v>
      </c>
      <c r="B1119" s="7" t="str">
        <f t="shared" si="64"/>
        <v>0402</v>
      </c>
      <c r="C1119" s="7" t="s">
        <v>54</v>
      </c>
      <c r="D1119" s="7" t="s">
        <v>52</v>
      </c>
      <c r="E1119" s="7" t="str">
        <f>"潘名芳"</f>
        <v>潘名芳</v>
      </c>
      <c r="F1119" s="7" t="s">
        <v>53</v>
      </c>
      <c r="G1119" s="7"/>
    </row>
    <row r="1120" ht="18" customHeight="1" spans="1:7">
      <c r="A1120" s="7">
        <v>1118</v>
      </c>
      <c r="B1120" s="7" t="str">
        <f t="shared" si="64"/>
        <v>0402</v>
      </c>
      <c r="C1120" s="7" t="s">
        <v>54</v>
      </c>
      <c r="D1120" s="7" t="s">
        <v>52</v>
      </c>
      <c r="E1120" s="7" t="str">
        <f>"邱令怡"</f>
        <v>邱令怡</v>
      </c>
      <c r="F1120" s="7" t="s">
        <v>53</v>
      </c>
      <c r="G1120" s="7"/>
    </row>
    <row r="1121" ht="18" customHeight="1" spans="1:7">
      <c r="A1121" s="7">
        <v>1119</v>
      </c>
      <c r="B1121" s="7" t="str">
        <f t="shared" si="64"/>
        <v>0402</v>
      </c>
      <c r="C1121" s="7" t="s">
        <v>54</v>
      </c>
      <c r="D1121" s="7" t="s">
        <v>52</v>
      </c>
      <c r="E1121" s="7" t="str">
        <f>"单佳宜"</f>
        <v>单佳宜</v>
      </c>
      <c r="F1121" s="7" t="s">
        <v>53</v>
      </c>
      <c r="G1121" s="7"/>
    </row>
    <row r="1122" ht="18" customHeight="1" spans="1:7">
      <c r="A1122" s="7">
        <v>1120</v>
      </c>
      <c r="B1122" s="7" t="str">
        <f t="shared" si="64"/>
        <v>0402</v>
      </c>
      <c r="C1122" s="7" t="s">
        <v>54</v>
      </c>
      <c r="D1122" s="7" t="s">
        <v>52</v>
      </c>
      <c r="E1122" s="7" t="str">
        <f>"赵琛歌"</f>
        <v>赵琛歌</v>
      </c>
      <c r="F1122" s="7" t="s">
        <v>53</v>
      </c>
      <c r="G1122" s="7"/>
    </row>
    <row r="1123" ht="18" customHeight="1" spans="1:7">
      <c r="A1123" s="7">
        <v>1121</v>
      </c>
      <c r="B1123" s="7" t="str">
        <f t="shared" si="64"/>
        <v>0402</v>
      </c>
      <c r="C1123" s="7" t="s">
        <v>54</v>
      </c>
      <c r="D1123" s="7" t="s">
        <v>52</v>
      </c>
      <c r="E1123" s="7" t="str">
        <f>"郭晓玲"</f>
        <v>郭晓玲</v>
      </c>
      <c r="F1123" s="7" t="s">
        <v>53</v>
      </c>
      <c r="G1123" s="7"/>
    </row>
    <row r="1124" ht="18" customHeight="1" spans="1:7">
      <c r="A1124" s="7">
        <v>1122</v>
      </c>
      <c r="B1124" s="7" t="str">
        <f t="shared" si="64"/>
        <v>0402</v>
      </c>
      <c r="C1124" s="7" t="s">
        <v>54</v>
      </c>
      <c r="D1124" s="7" t="s">
        <v>52</v>
      </c>
      <c r="E1124" s="7" t="str">
        <f>"夏铭成"</f>
        <v>夏铭成</v>
      </c>
      <c r="F1124" s="7" t="s">
        <v>53</v>
      </c>
      <c r="G1124" s="7"/>
    </row>
    <row r="1125" ht="18" customHeight="1" spans="1:7">
      <c r="A1125" s="7">
        <v>1123</v>
      </c>
      <c r="B1125" s="7" t="str">
        <f t="shared" si="64"/>
        <v>0402</v>
      </c>
      <c r="C1125" s="7" t="s">
        <v>54</v>
      </c>
      <c r="D1125" s="7" t="s">
        <v>52</v>
      </c>
      <c r="E1125" s="7" t="str">
        <f>"马君"</f>
        <v>马君</v>
      </c>
      <c r="F1125" s="7" t="s">
        <v>53</v>
      </c>
      <c r="G1125" s="7"/>
    </row>
    <row r="1126" ht="18" customHeight="1" spans="1:7">
      <c r="A1126" s="7">
        <v>1124</v>
      </c>
      <c r="B1126" s="7" t="str">
        <f t="shared" si="64"/>
        <v>0402</v>
      </c>
      <c r="C1126" s="7" t="s">
        <v>54</v>
      </c>
      <c r="D1126" s="7" t="s">
        <v>52</v>
      </c>
      <c r="E1126" s="7" t="str">
        <f>"邢增宇"</f>
        <v>邢增宇</v>
      </c>
      <c r="F1126" s="7" t="s">
        <v>53</v>
      </c>
      <c r="G1126" s="7"/>
    </row>
    <row r="1127" ht="18" customHeight="1" spans="1:7">
      <c r="A1127" s="7">
        <v>1125</v>
      </c>
      <c r="B1127" s="7" t="str">
        <f t="shared" si="64"/>
        <v>0402</v>
      </c>
      <c r="C1127" s="7" t="s">
        <v>54</v>
      </c>
      <c r="D1127" s="7" t="s">
        <v>52</v>
      </c>
      <c r="E1127" s="7" t="str">
        <f>"许土妹"</f>
        <v>许土妹</v>
      </c>
      <c r="F1127" s="7" t="s">
        <v>53</v>
      </c>
      <c r="G1127" s="7"/>
    </row>
    <row r="1128" ht="18" customHeight="1" spans="1:7">
      <c r="A1128" s="7">
        <v>1126</v>
      </c>
      <c r="B1128" s="7" t="str">
        <f t="shared" si="64"/>
        <v>0402</v>
      </c>
      <c r="C1128" s="7" t="s">
        <v>54</v>
      </c>
      <c r="D1128" s="7" t="s">
        <v>52</v>
      </c>
      <c r="E1128" s="7" t="str">
        <f>"朱玉"</f>
        <v>朱玉</v>
      </c>
      <c r="F1128" s="7" t="s">
        <v>53</v>
      </c>
      <c r="G1128" s="7"/>
    </row>
    <row r="1129" ht="18" customHeight="1" spans="1:7">
      <c r="A1129" s="7">
        <v>1127</v>
      </c>
      <c r="B1129" s="7" t="str">
        <f t="shared" si="64"/>
        <v>0402</v>
      </c>
      <c r="C1129" s="7" t="s">
        <v>54</v>
      </c>
      <c r="D1129" s="7" t="s">
        <v>52</v>
      </c>
      <c r="E1129" s="7" t="str">
        <f>"李希"</f>
        <v>李希</v>
      </c>
      <c r="F1129" s="7" t="s">
        <v>53</v>
      </c>
      <c r="G1129" s="7"/>
    </row>
    <row r="1130" ht="18" customHeight="1" spans="1:7">
      <c r="A1130" s="7">
        <v>1128</v>
      </c>
      <c r="B1130" s="7" t="str">
        <f t="shared" si="64"/>
        <v>0402</v>
      </c>
      <c r="C1130" s="7" t="s">
        <v>54</v>
      </c>
      <c r="D1130" s="7" t="s">
        <v>52</v>
      </c>
      <c r="E1130" s="7" t="str">
        <f>"王瑶珺"</f>
        <v>王瑶珺</v>
      </c>
      <c r="F1130" s="7" t="s">
        <v>53</v>
      </c>
      <c r="G1130" s="7"/>
    </row>
    <row r="1131" ht="18" customHeight="1" spans="1:7">
      <c r="A1131" s="7">
        <v>1129</v>
      </c>
      <c r="B1131" s="7" t="str">
        <f t="shared" si="64"/>
        <v>0402</v>
      </c>
      <c r="C1131" s="7" t="s">
        <v>54</v>
      </c>
      <c r="D1131" s="7" t="s">
        <v>52</v>
      </c>
      <c r="E1131" s="7" t="str">
        <f>"黄婕妤"</f>
        <v>黄婕妤</v>
      </c>
      <c r="F1131" s="7" t="s">
        <v>53</v>
      </c>
      <c r="G1131" s="7"/>
    </row>
    <row r="1132" ht="18" customHeight="1" spans="1:7">
      <c r="A1132" s="7">
        <v>1130</v>
      </c>
      <c r="B1132" s="7" t="str">
        <f t="shared" si="64"/>
        <v>0402</v>
      </c>
      <c r="C1132" s="7" t="s">
        <v>54</v>
      </c>
      <c r="D1132" s="7" t="s">
        <v>52</v>
      </c>
      <c r="E1132" s="7" t="str">
        <f>"李惠青"</f>
        <v>李惠青</v>
      </c>
      <c r="F1132" s="7" t="s">
        <v>53</v>
      </c>
      <c r="G1132" s="7"/>
    </row>
    <row r="1133" ht="18" customHeight="1" spans="1:7">
      <c r="A1133" s="7">
        <v>1131</v>
      </c>
      <c r="B1133" s="7" t="str">
        <f t="shared" si="64"/>
        <v>0402</v>
      </c>
      <c r="C1133" s="7" t="s">
        <v>54</v>
      </c>
      <c r="D1133" s="7" t="s">
        <v>52</v>
      </c>
      <c r="E1133" s="7" t="str">
        <f>"李品"</f>
        <v>李品</v>
      </c>
      <c r="F1133" s="7" t="s">
        <v>53</v>
      </c>
      <c r="G1133" s="7"/>
    </row>
    <row r="1134" ht="18" customHeight="1" spans="1:7">
      <c r="A1134" s="7">
        <v>1132</v>
      </c>
      <c r="B1134" s="7" t="str">
        <f t="shared" si="64"/>
        <v>0402</v>
      </c>
      <c r="C1134" s="7" t="s">
        <v>54</v>
      </c>
      <c r="D1134" s="7" t="s">
        <v>52</v>
      </c>
      <c r="E1134" s="7" t="str">
        <f>"王玲"</f>
        <v>王玲</v>
      </c>
      <c r="F1134" s="7" t="s">
        <v>53</v>
      </c>
      <c r="G1134" s="7"/>
    </row>
    <row r="1135" ht="18" customHeight="1" spans="1:7">
      <c r="A1135" s="7">
        <v>1133</v>
      </c>
      <c r="B1135" s="7" t="str">
        <f t="shared" si="64"/>
        <v>0402</v>
      </c>
      <c r="C1135" s="7" t="s">
        <v>54</v>
      </c>
      <c r="D1135" s="7" t="s">
        <v>52</v>
      </c>
      <c r="E1135" s="7" t="str">
        <f>"黄炳杰"</f>
        <v>黄炳杰</v>
      </c>
      <c r="F1135" s="7" t="s">
        <v>53</v>
      </c>
      <c r="G1135" s="7"/>
    </row>
    <row r="1136" ht="18" customHeight="1" spans="1:7">
      <c r="A1136" s="7">
        <v>1134</v>
      </c>
      <c r="B1136" s="7" t="str">
        <f t="shared" si="64"/>
        <v>0402</v>
      </c>
      <c r="C1136" s="7" t="s">
        <v>54</v>
      </c>
      <c r="D1136" s="7" t="s">
        <v>52</v>
      </c>
      <c r="E1136" s="7" t="str">
        <f>"李诗景"</f>
        <v>李诗景</v>
      </c>
      <c r="F1136" s="7" t="s">
        <v>53</v>
      </c>
      <c r="G1136" s="7"/>
    </row>
    <row r="1137" ht="18" customHeight="1" spans="1:7">
      <c r="A1137" s="7">
        <v>1135</v>
      </c>
      <c r="B1137" s="7" t="str">
        <f t="shared" si="64"/>
        <v>0402</v>
      </c>
      <c r="C1137" s="7" t="s">
        <v>54</v>
      </c>
      <c r="D1137" s="7" t="s">
        <v>52</v>
      </c>
      <c r="E1137" s="7" t="str">
        <f>"梁德娟"</f>
        <v>梁德娟</v>
      </c>
      <c r="F1137" s="7" t="s">
        <v>53</v>
      </c>
      <c r="G1137" s="7"/>
    </row>
    <row r="1138" ht="18" customHeight="1" spans="1:7">
      <c r="A1138" s="7">
        <v>1136</v>
      </c>
      <c r="B1138" s="7" t="str">
        <f t="shared" si="64"/>
        <v>0402</v>
      </c>
      <c r="C1138" s="7" t="s">
        <v>54</v>
      </c>
      <c r="D1138" s="7" t="s">
        <v>52</v>
      </c>
      <c r="E1138" s="7" t="str">
        <f>"臧传奇"</f>
        <v>臧传奇</v>
      </c>
      <c r="F1138" s="7" t="s">
        <v>53</v>
      </c>
      <c r="G1138" s="7"/>
    </row>
    <row r="1139" ht="18" customHeight="1" spans="1:7">
      <c r="A1139" s="7">
        <v>1137</v>
      </c>
      <c r="B1139" s="7" t="str">
        <f t="shared" si="64"/>
        <v>0402</v>
      </c>
      <c r="C1139" s="7" t="s">
        <v>54</v>
      </c>
      <c r="D1139" s="7" t="s">
        <v>52</v>
      </c>
      <c r="E1139" s="7" t="str">
        <f>"高宗玉"</f>
        <v>高宗玉</v>
      </c>
      <c r="F1139" s="7" t="s">
        <v>53</v>
      </c>
      <c r="G1139" s="7"/>
    </row>
    <row r="1140" ht="18" customHeight="1" spans="1:7">
      <c r="A1140" s="7">
        <v>1138</v>
      </c>
      <c r="B1140" s="7" t="str">
        <f t="shared" si="64"/>
        <v>0402</v>
      </c>
      <c r="C1140" s="7" t="s">
        <v>54</v>
      </c>
      <c r="D1140" s="7" t="s">
        <v>52</v>
      </c>
      <c r="E1140" s="7" t="str">
        <f>"王厦怡"</f>
        <v>王厦怡</v>
      </c>
      <c r="F1140" s="7" t="s">
        <v>53</v>
      </c>
      <c r="G1140" s="7"/>
    </row>
    <row r="1141" ht="18" customHeight="1" spans="1:7">
      <c r="A1141" s="7">
        <v>1139</v>
      </c>
      <c r="B1141" s="7" t="str">
        <f t="shared" si="64"/>
        <v>0402</v>
      </c>
      <c r="C1141" s="7" t="s">
        <v>54</v>
      </c>
      <c r="D1141" s="7" t="s">
        <v>52</v>
      </c>
      <c r="E1141" s="7" t="str">
        <f>"李晓萌"</f>
        <v>李晓萌</v>
      </c>
      <c r="F1141" s="7" t="s">
        <v>53</v>
      </c>
      <c r="G1141" s="7"/>
    </row>
    <row r="1142" ht="18" customHeight="1" spans="1:7">
      <c r="A1142" s="7">
        <v>1140</v>
      </c>
      <c r="B1142" s="7" t="str">
        <f t="shared" si="64"/>
        <v>0402</v>
      </c>
      <c r="C1142" s="7" t="s">
        <v>54</v>
      </c>
      <c r="D1142" s="7" t="s">
        <v>52</v>
      </c>
      <c r="E1142" s="7" t="str">
        <f>"卜晓飞"</f>
        <v>卜晓飞</v>
      </c>
      <c r="F1142" s="7" t="s">
        <v>53</v>
      </c>
      <c r="G1142" s="7"/>
    </row>
    <row r="1143" ht="18" customHeight="1" spans="1:7">
      <c r="A1143" s="7">
        <v>1141</v>
      </c>
      <c r="B1143" s="7" t="str">
        <f t="shared" si="64"/>
        <v>0402</v>
      </c>
      <c r="C1143" s="7" t="s">
        <v>54</v>
      </c>
      <c r="D1143" s="7" t="s">
        <v>52</v>
      </c>
      <c r="E1143" s="7" t="str">
        <f>"羊汉平"</f>
        <v>羊汉平</v>
      </c>
      <c r="F1143" s="7" t="s">
        <v>53</v>
      </c>
      <c r="G1143" s="7"/>
    </row>
    <row r="1144" ht="18" customHeight="1" spans="1:7">
      <c r="A1144" s="7">
        <v>1142</v>
      </c>
      <c r="B1144" s="7" t="str">
        <f t="shared" si="64"/>
        <v>0402</v>
      </c>
      <c r="C1144" s="7" t="s">
        <v>54</v>
      </c>
      <c r="D1144" s="7" t="s">
        <v>52</v>
      </c>
      <c r="E1144" s="7" t="str">
        <f>"蒋惠敏"</f>
        <v>蒋惠敏</v>
      </c>
      <c r="F1144" s="7" t="s">
        <v>53</v>
      </c>
      <c r="G1144" s="7"/>
    </row>
    <row r="1145" ht="18" customHeight="1" spans="1:7">
      <c r="A1145" s="7">
        <v>1143</v>
      </c>
      <c r="B1145" s="7" t="str">
        <f t="shared" si="64"/>
        <v>0402</v>
      </c>
      <c r="C1145" s="7" t="s">
        <v>54</v>
      </c>
      <c r="D1145" s="7" t="s">
        <v>52</v>
      </c>
      <c r="E1145" s="7" t="str">
        <f>"崔璨"</f>
        <v>崔璨</v>
      </c>
      <c r="F1145" s="7" t="s">
        <v>53</v>
      </c>
      <c r="G1145" s="7"/>
    </row>
    <row r="1146" ht="18" customHeight="1" spans="1:7">
      <c r="A1146" s="7">
        <v>1144</v>
      </c>
      <c r="B1146" s="7" t="str">
        <f t="shared" si="64"/>
        <v>0402</v>
      </c>
      <c r="C1146" s="7" t="s">
        <v>54</v>
      </c>
      <c r="D1146" s="7" t="s">
        <v>52</v>
      </c>
      <c r="E1146" s="7" t="str">
        <f>"陈保柳"</f>
        <v>陈保柳</v>
      </c>
      <c r="F1146" s="7" t="s">
        <v>53</v>
      </c>
      <c r="G1146" s="7"/>
    </row>
    <row r="1147" ht="18" customHeight="1" spans="1:7">
      <c r="A1147" s="7">
        <v>1145</v>
      </c>
      <c r="B1147" s="7" t="str">
        <f t="shared" si="64"/>
        <v>0402</v>
      </c>
      <c r="C1147" s="7" t="s">
        <v>54</v>
      </c>
      <c r="D1147" s="7" t="s">
        <v>52</v>
      </c>
      <c r="E1147" s="7" t="str">
        <f>"黄闯"</f>
        <v>黄闯</v>
      </c>
      <c r="F1147" s="7" t="s">
        <v>53</v>
      </c>
      <c r="G1147" s="7"/>
    </row>
    <row r="1148" ht="18" customHeight="1" spans="1:7">
      <c r="A1148" s="7">
        <v>1146</v>
      </c>
      <c r="B1148" s="7" t="str">
        <f t="shared" si="64"/>
        <v>0402</v>
      </c>
      <c r="C1148" s="7" t="s">
        <v>54</v>
      </c>
      <c r="D1148" s="7" t="s">
        <v>52</v>
      </c>
      <c r="E1148" s="7" t="str">
        <f>"李雪"</f>
        <v>李雪</v>
      </c>
      <c r="F1148" s="7" t="s">
        <v>53</v>
      </c>
      <c r="G1148" s="7"/>
    </row>
    <row r="1149" ht="18" customHeight="1" spans="1:7">
      <c r="A1149" s="7">
        <v>1147</v>
      </c>
      <c r="B1149" s="7" t="str">
        <f t="shared" si="64"/>
        <v>0402</v>
      </c>
      <c r="C1149" s="7" t="s">
        <v>54</v>
      </c>
      <c r="D1149" s="7" t="s">
        <v>52</v>
      </c>
      <c r="E1149" s="7" t="str">
        <f>"张议文"</f>
        <v>张议文</v>
      </c>
      <c r="F1149" s="7" t="s">
        <v>53</v>
      </c>
      <c r="G1149" s="7"/>
    </row>
    <row r="1150" ht="18" customHeight="1" spans="1:7">
      <c r="A1150" s="7">
        <v>1148</v>
      </c>
      <c r="B1150" s="7" t="str">
        <f t="shared" si="64"/>
        <v>0402</v>
      </c>
      <c r="C1150" s="7" t="s">
        <v>54</v>
      </c>
      <c r="D1150" s="7" t="s">
        <v>52</v>
      </c>
      <c r="E1150" s="7" t="str">
        <f>"牛耀辉"</f>
        <v>牛耀辉</v>
      </c>
      <c r="F1150" s="7" t="s">
        <v>53</v>
      </c>
      <c r="G1150" s="7"/>
    </row>
    <row r="1151" ht="18" customHeight="1" spans="1:7">
      <c r="A1151" s="7">
        <v>1149</v>
      </c>
      <c r="B1151" s="7" t="str">
        <f>"0402"</f>
        <v>0402</v>
      </c>
      <c r="C1151" s="7" t="s">
        <v>54</v>
      </c>
      <c r="D1151" s="7" t="s">
        <v>52</v>
      </c>
      <c r="E1151" s="7" t="str">
        <f>"姜秀玲"</f>
        <v>姜秀玲</v>
      </c>
      <c r="F1151" s="7" t="s">
        <v>53</v>
      </c>
      <c r="G1151" s="7"/>
    </row>
    <row r="1152" ht="18" customHeight="1" spans="1:7">
      <c r="A1152" s="7">
        <v>1150</v>
      </c>
      <c r="B1152" s="7" t="str">
        <f>"0402"</f>
        <v>0402</v>
      </c>
      <c r="C1152" s="7" t="s">
        <v>54</v>
      </c>
      <c r="D1152" s="7" t="s">
        <v>52</v>
      </c>
      <c r="E1152" s="7" t="str">
        <f>"寇晓丽"</f>
        <v>寇晓丽</v>
      </c>
      <c r="F1152" s="7" t="s">
        <v>53</v>
      </c>
      <c r="G1152" s="7"/>
    </row>
    <row r="1153" ht="18" customHeight="1" spans="1:7">
      <c r="A1153" s="7">
        <v>1151</v>
      </c>
      <c r="B1153" s="7" t="str">
        <f t="shared" ref="B1153:B1216" si="65">"0402"</f>
        <v>0402</v>
      </c>
      <c r="C1153" s="7" t="s">
        <v>54</v>
      </c>
      <c r="D1153" s="7" t="s">
        <v>52</v>
      </c>
      <c r="E1153" s="7" t="str">
        <f>"李琳琳"</f>
        <v>李琳琳</v>
      </c>
      <c r="F1153" s="7" t="s">
        <v>53</v>
      </c>
      <c r="G1153" s="7"/>
    </row>
    <row r="1154" ht="18" customHeight="1" spans="1:7">
      <c r="A1154" s="7">
        <v>1152</v>
      </c>
      <c r="B1154" s="7" t="str">
        <f t="shared" si="65"/>
        <v>0402</v>
      </c>
      <c r="C1154" s="7" t="s">
        <v>54</v>
      </c>
      <c r="D1154" s="7" t="s">
        <v>52</v>
      </c>
      <c r="E1154" s="7" t="str">
        <f>"周晓彤"</f>
        <v>周晓彤</v>
      </c>
      <c r="F1154" s="7" t="s">
        <v>53</v>
      </c>
      <c r="G1154" s="7"/>
    </row>
    <row r="1155" ht="18" customHeight="1" spans="1:7">
      <c r="A1155" s="7">
        <v>1153</v>
      </c>
      <c r="B1155" s="7" t="str">
        <f t="shared" si="65"/>
        <v>0402</v>
      </c>
      <c r="C1155" s="7" t="s">
        <v>54</v>
      </c>
      <c r="D1155" s="7" t="s">
        <v>52</v>
      </c>
      <c r="E1155" s="7" t="str">
        <f>"符崇乐"</f>
        <v>符崇乐</v>
      </c>
      <c r="F1155" s="7" t="s">
        <v>53</v>
      </c>
      <c r="G1155" s="7"/>
    </row>
    <row r="1156" ht="18" customHeight="1" spans="1:7">
      <c r="A1156" s="7">
        <v>1154</v>
      </c>
      <c r="B1156" s="7" t="str">
        <f t="shared" si="65"/>
        <v>0402</v>
      </c>
      <c r="C1156" s="7" t="s">
        <v>54</v>
      </c>
      <c r="D1156" s="7" t="s">
        <v>52</v>
      </c>
      <c r="E1156" s="7" t="str">
        <f>"杨于卜"</f>
        <v>杨于卜</v>
      </c>
      <c r="F1156" s="7" t="s">
        <v>53</v>
      </c>
      <c r="G1156" s="7"/>
    </row>
    <row r="1157" ht="18" customHeight="1" spans="1:7">
      <c r="A1157" s="7">
        <v>1155</v>
      </c>
      <c r="B1157" s="7" t="str">
        <f t="shared" si="65"/>
        <v>0402</v>
      </c>
      <c r="C1157" s="7" t="s">
        <v>54</v>
      </c>
      <c r="D1157" s="7" t="s">
        <v>52</v>
      </c>
      <c r="E1157" s="7" t="str">
        <f>"赵俊芳"</f>
        <v>赵俊芳</v>
      </c>
      <c r="F1157" s="7" t="s">
        <v>53</v>
      </c>
      <c r="G1157" s="7"/>
    </row>
    <row r="1158" ht="18" customHeight="1" spans="1:7">
      <c r="A1158" s="7">
        <v>1156</v>
      </c>
      <c r="B1158" s="7" t="str">
        <f t="shared" si="65"/>
        <v>0402</v>
      </c>
      <c r="C1158" s="7" t="s">
        <v>54</v>
      </c>
      <c r="D1158" s="7" t="s">
        <v>52</v>
      </c>
      <c r="E1158" s="7" t="str">
        <f>"海斌"</f>
        <v>海斌</v>
      </c>
      <c r="F1158" s="7" t="s">
        <v>53</v>
      </c>
      <c r="G1158" s="7"/>
    </row>
    <row r="1159" ht="18" customHeight="1" spans="1:7">
      <c r="A1159" s="7">
        <v>1157</v>
      </c>
      <c r="B1159" s="7" t="str">
        <f t="shared" si="65"/>
        <v>0402</v>
      </c>
      <c r="C1159" s="7" t="s">
        <v>54</v>
      </c>
      <c r="D1159" s="7" t="s">
        <v>52</v>
      </c>
      <c r="E1159" s="7" t="str">
        <f>"刘芳芳"</f>
        <v>刘芳芳</v>
      </c>
      <c r="F1159" s="7" t="s">
        <v>53</v>
      </c>
      <c r="G1159" s="7"/>
    </row>
    <row r="1160" ht="18" customHeight="1" spans="1:7">
      <c r="A1160" s="7">
        <v>1158</v>
      </c>
      <c r="B1160" s="7" t="str">
        <f t="shared" si="65"/>
        <v>0402</v>
      </c>
      <c r="C1160" s="7" t="s">
        <v>54</v>
      </c>
      <c r="D1160" s="7" t="s">
        <v>52</v>
      </c>
      <c r="E1160" s="7" t="str">
        <f>"薛慧敏"</f>
        <v>薛慧敏</v>
      </c>
      <c r="F1160" s="7" t="s">
        <v>53</v>
      </c>
      <c r="G1160" s="7"/>
    </row>
    <row r="1161" ht="18" customHeight="1" spans="1:7">
      <c r="A1161" s="7">
        <v>1159</v>
      </c>
      <c r="B1161" s="7" t="str">
        <f t="shared" si="65"/>
        <v>0402</v>
      </c>
      <c r="C1161" s="7" t="s">
        <v>54</v>
      </c>
      <c r="D1161" s="7" t="s">
        <v>52</v>
      </c>
      <c r="E1161" s="7" t="str">
        <f>"吴晓艺"</f>
        <v>吴晓艺</v>
      </c>
      <c r="F1161" s="7" t="s">
        <v>53</v>
      </c>
      <c r="G1161" s="7"/>
    </row>
    <row r="1162" ht="18" customHeight="1" spans="1:7">
      <c r="A1162" s="7">
        <v>1160</v>
      </c>
      <c r="B1162" s="7" t="str">
        <f t="shared" si="65"/>
        <v>0402</v>
      </c>
      <c r="C1162" s="7" t="s">
        <v>54</v>
      </c>
      <c r="D1162" s="7" t="s">
        <v>52</v>
      </c>
      <c r="E1162" s="7" t="str">
        <f>"贾力"</f>
        <v>贾力</v>
      </c>
      <c r="F1162" s="7" t="s">
        <v>53</v>
      </c>
      <c r="G1162" s="7"/>
    </row>
    <row r="1163" ht="18" customHeight="1" spans="1:7">
      <c r="A1163" s="7">
        <v>1161</v>
      </c>
      <c r="B1163" s="7" t="str">
        <f t="shared" si="65"/>
        <v>0402</v>
      </c>
      <c r="C1163" s="7" t="s">
        <v>54</v>
      </c>
      <c r="D1163" s="7" t="s">
        <v>52</v>
      </c>
      <c r="E1163" s="7" t="str">
        <f>"莫春燕"</f>
        <v>莫春燕</v>
      </c>
      <c r="F1163" s="7" t="s">
        <v>53</v>
      </c>
      <c r="G1163" s="7"/>
    </row>
    <row r="1164" ht="18" customHeight="1" spans="1:7">
      <c r="A1164" s="7">
        <v>1162</v>
      </c>
      <c r="B1164" s="7" t="str">
        <f t="shared" si="65"/>
        <v>0402</v>
      </c>
      <c r="C1164" s="7" t="s">
        <v>54</v>
      </c>
      <c r="D1164" s="7" t="s">
        <v>52</v>
      </c>
      <c r="E1164" s="7" t="str">
        <f>"周会雨"</f>
        <v>周会雨</v>
      </c>
      <c r="F1164" s="7" t="s">
        <v>53</v>
      </c>
      <c r="G1164" s="7"/>
    </row>
    <row r="1165" ht="18" customHeight="1" spans="1:7">
      <c r="A1165" s="7">
        <v>1163</v>
      </c>
      <c r="B1165" s="7" t="str">
        <f t="shared" si="65"/>
        <v>0402</v>
      </c>
      <c r="C1165" s="7" t="s">
        <v>54</v>
      </c>
      <c r="D1165" s="7" t="s">
        <v>52</v>
      </c>
      <c r="E1165" s="7" t="str">
        <f>"韩晶晶"</f>
        <v>韩晶晶</v>
      </c>
      <c r="F1165" s="7" t="s">
        <v>53</v>
      </c>
      <c r="G1165" s="7"/>
    </row>
    <row r="1166" ht="18" customHeight="1" spans="1:7">
      <c r="A1166" s="7">
        <v>1164</v>
      </c>
      <c r="B1166" s="7" t="str">
        <f t="shared" si="65"/>
        <v>0402</v>
      </c>
      <c r="C1166" s="7" t="s">
        <v>54</v>
      </c>
      <c r="D1166" s="7" t="s">
        <v>52</v>
      </c>
      <c r="E1166" s="7" t="str">
        <f>"陈晓倩"</f>
        <v>陈晓倩</v>
      </c>
      <c r="F1166" s="7" t="s">
        <v>53</v>
      </c>
      <c r="G1166" s="7"/>
    </row>
    <row r="1167" ht="18" customHeight="1" spans="1:7">
      <c r="A1167" s="7">
        <v>1165</v>
      </c>
      <c r="B1167" s="7" t="str">
        <f t="shared" si="65"/>
        <v>0402</v>
      </c>
      <c r="C1167" s="7" t="s">
        <v>54</v>
      </c>
      <c r="D1167" s="7" t="s">
        <v>52</v>
      </c>
      <c r="E1167" s="7" t="str">
        <f>"张小短"</f>
        <v>张小短</v>
      </c>
      <c r="F1167" s="7" t="s">
        <v>53</v>
      </c>
      <c r="G1167" s="7"/>
    </row>
    <row r="1168" ht="18" customHeight="1" spans="1:7">
      <c r="A1168" s="7">
        <v>1166</v>
      </c>
      <c r="B1168" s="7" t="str">
        <f t="shared" si="65"/>
        <v>0402</v>
      </c>
      <c r="C1168" s="7" t="s">
        <v>54</v>
      </c>
      <c r="D1168" s="7" t="s">
        <v>52</v>
      </c>
      <c r="E1168" s="7" t="str">
        <f>"李博文"</f>
        <v>李博文</v>
      </c>
      <c r="F1168" s="7" t="s">
        <v>53</v>
      </c>
      <c r="G1168" s="7"/>
    </row>
    <row r="1169" ht="18" customHeight="1" spans="1:7">
      <c r="A1169" s="7">
        <v>1167</v>
      </c>
      <c r="B1169" s="7" t="str">
        <f t="shared" si="65"/>
        <v>0402</v>
      </c>
      <c r="C1169" s="7" t="s">
        <v>54</v>
      </c>
      <c r="D1169" s="7" t="s">
        <v>52</v>
      </c>
      <c r="E1169" s="7" t="str">
        <f>"邢陆玲"</f>
        <v>邢陆玲</v>
      </c>
      <c r="F1169" s="7" t="s">
        <v>53</v>
      </c>
      <c r="G1169" s="7"/>
    </row>
    <row r="1170" ht="18" customHeight="1" spans="1:7">
      <c r="A1170" s="7">
        <v>1168</v>
      </c>
      <c r="B1170" s="7" t="str">
        <f t="shared" si="65"/>
        <v>0402</v>
      </c>
      <c r="C1170" s="7" t="s">
        <v>54</v>
      </c>
      <c r="D1170" s="7" t="s">
        <v>52</v>
      </c>
      <c r="E1170" s="7" t="str">
        <f>"孙雱飞"</f>
        <v>孙雱飞</v>
      </c>
      <c r="F1170" s="7" t="s">
        <v>53</v>
      </c>
      <c r="G1170" s="7"/>
    </row>
    <row r="1171" ht="18" customHeight="1" spans="1:7">
      <c r="A1171" s="7">
        <v>1169</v>
      </c>
      <c r="B1171" s="7" t="str">
        <f t="shared" si="65"/>
        <v>0402</v>
      </c>
      <c r="C1171" s="7" t="s">
        <v>54</v>
      </c>
      <c r="D1171" s="7" t="s">
        <v>52</v>
      </c>
      <c r="E1171" s="7" t="str">
        <f>"石婷婷"</f>
        <v>石婷婷</v>
      </c>
      <c r="F1171" s="7" t="s">
        <v>53</v>
      </c>
      <c r="G1171" s="7"/>
    </row>
    <row r="1172" ht="18" customHeight="1" spans="1:7">
      <c r="A1172" s="7">
        <v>1170</v>
      </c>
      <c r="B1172" s="7" t="str">
        <f t="shared" si="65"/>
        <v>0402</v>
      </c>
      <c r="C1172" s="7" t="s">
        <v>54</v>
      </c>
      <c r="D1172" s="7" t="s">
        <v>52</v>
      </c>
      <c r="E1172" s="7" t="str">
        <f>"邵强"</f>
        <v>邵强</v>
      </c>
      <c r="F1172" s="7" t="s">
        <v>53</v>
      </c>
      <c r="G1172" s="7"/>
    </row>
    <row r="1173" ht="18" customHeight="1" spans="1:7">
      <c r="A1173" s="7">
        <v>1171</v>
      </c>
      <c r="B1173" s="7" t="str">
        <f t="shared" si="65"/>
        <v>0402</v>
      </c>
      <c r="C1173" s="7" t="s">
        <v>54</v>
      </c>
      <c r="D1173" s="7" t="s">
        <v>52</v>
      </c>
      <c r="E1173" s="7" t="str">
        <f>"梅楠雪"</f>
        <v>梅楠雪</v>
      </c>
      <c r="F1173" s="7" t="s">
        <v>53</v>
      </c>
      <c r="G1173" s="7"/>
    </row>
    <row r="1174" ht="18" customHeight="1" spans="1:7">
      <c r="A1174" s="7">
        <v>1172</v>
      </c>
      <c r="B1174" s="7" t="str">
        <f t="shared" si="65"/>
        <v>0402</v>
      </c>
      <c r="C1174" s="7" t="s">
        <v>54</v>
      </c>
      <c r="D1174" s="7" t="s">
        <v>52</v>
      </c>
      <c r="E1174" s="7" t="str">
        <f>"丁悦花"</f>
        <v>丁悦花</v>
      </c>
      <c r="F1174" s="7" t="s">
        <v>53</v>
      </c>
      <c r="G1174" s="7"/>
    </row>
    <row r="1175" ht="18" customHeight="1" spans="1:7">
      <c r="A1175" s="7">
        <v>1173</v>
      </c>
      <c r="B1175" s="7" t="str">
        <f t="shared" si="65"/>
        <v>0402</v>
      </c>
      <c r="C1175" s="7" t="s">
        <v>54</v>
      </c>
      <c r="D1175" s="7" t="s">
        <v>52</v>
      </c>
      <c r="E1175" s="7" t="str">
        <f>"文静琳"</f>
        <v>文静琳</v>
      </c>
      <c r="F1175" s="7" t="s">
        <v>53</v>
      </c>
      <c r="G1175" s="7"/>
    </row>
    <row r="1176" ht="18" customHeight="1" spans="1:7">
      <c r="A1176" s="7">
        <v>1174</v>
      </c>
      <c r="B1176" s="7" t="str">
        <f t="shared" si="65"/>
        <v>0402</v>
      </c>
      <c r="C1176" s="7" t="s">
        <v>54</v>
      </c>
      <c r="D1176" s="7" t="s">
        <v>52</v>
      </c>
      <c r="E1176" s="7" t="str">
        <f>"许其静"</f>
        <v>许其静</v>
      </c>
      <c r="F1176" s="7" t="s">
        <v>53</v>
      </c>
      <c r="G1176" s="7"/>
    </row>
    <row r="1177" ht="18" customHeight="1" spans="1:7">
      <c r="A1177" s="7">
        <v>1175</v>
      </c>
      <c r="B1177" s="7" t="str">
        <f t="shared" si="65"/>
        <v>0402</v>
      </c>
      <c r="C1177" s="7" t="s">
        <v>54</v>
      </c>
      <c r="D1177" s="7" t="s">
        <v>52</v>
      </c>
      <c r="E1177" s="7" t="str">
        <f>"梁惠婷"</f>
        <v>梁惠婷</v>
      </c>
      <c r="F1177" s="7" t="s">
        <v>53</v>
      </c>
      <c r="G1177" s="7"/>
    </row>
    <row r="1178" ht="18" customHeight="1" spans="1:7">
      <c r="A1178" s="7">
        <v>1176</v>
      </c>
      <c r="B1178" s="7" t="str">
        <f t="shared" si="65"/>
        <v>0402</v>
      </c>
      <c r="C1178" s="7" t="s">
        <v>54</v>
      </c>
      <c r="D1178" s="7" t="s">
        <v>52</v>
      </c>
      <c r="E1178" s="7" t="str">
        <f>"张玉莹"</f>
        <v>张玉莹</v>
      </c>
      <c r="F1178" s="7" t="s">
        <v>53</v>
      </c>
      <c r="G1178" s="7"/>
    </row>
    <row r="1179" ht="18" customHeight="1" spans="1:7">
      <c r="A1179" s="7">
        <v>1177</v>
      </c>
      <c r="B1179" s="7" t="str">
        <f t="shared" si="65"/>
        <v>0402</v>
      </c>
      <c r="C1179" s="7" t="s">
        <v>54</v>
      </c>
      <c r="D1179" s="7" t="s">
        <v>52</v>
      </c>
      <c r="E1179" s="7" t="str">
        <f>"杨富丽"</f>
        <v>杨富丽</v>
      </c>
      <c r="F1179" s="7" t="s">
        <v>53</v>
      </c>
      <c r="G1179" s="7"/>
    </row>
    <row r="1180" ht="18" customHeight="1" spans="1:7">
      <c r="A1180" s="7">
        <v>1178</v>
      </c>
      <c r="B1180" s="7" t="str">
        <f t="shared" si="65"/>
        <v>0402</v>
      </c>
      <c r="C1180" s="7" t="s">
        <v>54</v>
      </c>
      <c r="D1180" s="7" t="s">
        <v>52</v>
      </c>
      <c r="E1180" s="7" t="str">
        <f>"薛浩"</f>
        <v>薛浩</v>
      </c>
      <c r="F1180" s="7" t="s">
        <v>53</v>
      </c>
      <c r="G1180" s="7"/>
    </row>
    <row r="1181" ht="18" customHeight="1" spans="1:7">
      <c r="A1181" s="7">
        <v>1179</v>
      </c>
      <c r="B1181" s="7" t="str">
        <f t="shared" si="65"/>
        <v>0402</v>
      </c>
      <c r="C1181" s="7" t="s">
        <v>54</v>
      </c>
      <c r="D1181" s="7" t="s">
        <v>52</v>
      </c>
      <c r="E1181" s="7" t="str">
        <f>"孙宇飞"</f>
        <v>孙宇飞</v>
      </c>
      <c r="F1181" s="7" t="s">
        <v>53</v>
      </c>
      <c r="G1181" s="7"/>
    </row>
    <row r="1182" ht="18" customHeight="1" spans="1:7">
      <c r="A1182" s="7">
        <v>1180</v>
      </c>
      <c r="B1182" s="7" t="str">
        <f t="shared" si="65"/>
        <v>0402</v>
      </c>
      <c r="C1182" s="7" t="s">
        <v>54</v>
      </c>
      <c r="D1182" s="7" t="s">
        <v>52</v>
      </c>
      <c r="E1182" s="7" t="str">
        <f>"黄小翠"</f>
        <v>黄小翠</v>
      </c>
      <c r="F1182" s="7" t="s">
        <v>53</v>
      </c>
      <c r="G1182" s="7"/>
    </row>
    <row r="1183" ht="18" customHeight="1" spans="1:7">
      <c r="A1183" s="7">
        <v>1181</v>
      </c>
      <c r="B1183" s="7" t="str">
        <f t="shared" si="65"/>
        <v>0402</v>
      </c>
      <c r="C1183" s="7" t="s">
        <v>54</v>
      </c>
      <c r="D1183" s="7" t="s">
        <v>52</v>
      </c>
      <c r="E1183" s="7" t="str">
        <f>"马倩"</f>
        <v>马倩</v>
      </c>
      <c r="F1183" s="7" t="s">
        <v>53</v>
      </c>
      <c r="G1183" s="7"/>
    </row>
    <row r="1184" ht="18" customHeight="1" spans="1:7">
      <c r="A1184" s="7">
        <v>1182</v>
      </c>
      <c r="B1184" s="7" t="str">
        <f t="shared" si="65"/>
        <v>0402</v>
      </c>
      <c r="C1184" s="7" t="s">
        <v>54</v>
      </c>
      <c r="D1184" s="7" t="s">
        <v>52</v>
      </c>
      <c r="E1184" s="7" t="str">
        <f>"刘敏"</f>
        <v>刘敏</v>
      </c>
      <c r="F1184" s="7" t="s">
        <v>53</v>
      </c>
      <c r="G1184" s="7"/>
    </row>
    <row r="1185" ht="18" customHeight="1" spans="1:7">
      <c r="A1185" s="7">
        <v>1183</v>
      </c>
      <c r="B1185" s="7" t="str">
        <f t="shared" si="65"/>
        <v>0402</v>
      </c>
      <c r="C1185" s="7" t="s">
        <v>54</v>
      </c>
      <c r="D1185" s="7" t="s">
        <v>52</v>
      </c>
      <c r="E1185" s="7" t="str">
        <f>"林鸿乾"</f>
        <v>林鸿乾</v>
      </c>
      <c r="F1185" s="7" t="s">
        <v>53</v>
      </c>
      <c r="G1185" s="7"/>
    </row>
    <row r="1186" ht="18" customHeight="1" spans="1:7">
      <c r="A1186" s="7">
        <v>1184</v>
      </c>
      <c r="B1186" s="7" t="str">
        <f t="shared" si="65"/>
        <v>0402</v>
      </c>
      <c r="C1186" s="7" t="s">
        <v>54</v>
      </c>
      <c r="D1186" s="7" t="s">
        <v>52</v>
      </c>
      <c r="E1186" s="7" t="str">
        <f>"于伟龙"</f>
        <v>于伟龙</v>
      </c>
      <c r="F1186" s="7" t="s">
        <v>53</v>
      </c>
      <c r="G1186" s="7"/>
    </row>
    <row r="1187" ht="18" customHeight="1" spans="1:7">
      <c r="A1187" s="7">
        <v>1185</v>
      </c>
      <c r="B1187" s="7" t="str">
        <f t="shared" si="65"/>
        <v>0402</v>
      </c>
      <c r="C1187" s="7" t="s">
        <v>54</v>
      </c>
      <c r="D1187" s="7" t="s">
        <v>52</v>
      </c>
      <c r="E1187" s="7" t="str">
        <f>"韩森绪"</f>
        <v>韩森绪</v>
      </c>
      <c r="F1187" s="7" t="s">
        <v>53</v>
      </c>
      <c r="G1187" s="7"/>
    </row>
    <row r="1188" ht="18" customHeight="1" spans="1:7">
      <c r="A1188" s="7">
        <v>1186</v>
      </c>
      <c r="B1188" s="7" t="str">
        <f t="shared" si="65"/>
        <v>0402</v>
      </c>
      <c r="C1188" s="7" t="s">
        <v>54</v>
      </c>
      <c r="D1188" s="7" t="s">
        <v>52</v>
      </c>
      <c r="E1188" s="7" t="str">
        <f>"卢泓玮"</f>
        <v>卢泓玮</v>
      </c>
      <c r="F1188" s="7" t="s">
        <v>53</v>
      </c>
      <c r="G1188" s="7"/>
    </row>
    <row r="1189" ht="18" customHeight="1" spans="1:7">
      <c r="A1189" s="7">
        <v>1187</v>
      </c>
      <c r="B1189" s="7" t="str">
        <f t="shared" si="65"/>
        <v>0402</v>
      </c>
      <c r="C1189" s="7" t="s">
        <v>54</v>
      </c>
      <c r="D1189" s="7" t="s">
        <v>52</v>
      </c>
      <c r="E1189" s="7" t="str">
        <f>"龙城"</f>
        <v>龙城</v>
      </c>
      <c r="F1189" s="7" t="s">
        <v>53</v>
      </c>
      <c r="G1189" s="7"/>
    </row>
    <row r="1190" ht="18" customHeight="1" spans="1:7">
      <c r="A1190" s="7">
        <v>1188</v>
      </c>
      <c r="B1190" s="7" t="str">
        <f t="shared" si="65"/>
        <v>0402</v>
      </c>
      <c r="C1190" s="7" t="s">
        <v>54</v>
      </c>
      <c r="D1190" s="7" t="s">
        <v>52</v>
      </c>
      <c r="E1190" s="7" t="str">
        <f>"牟楠"</f>
        <v>牟楠</v>
      </c>
      <c r="F1190" s="7" t="s">
        <v>53</v>
      </c>
      <c r="G1190" s="7"/>
    </row>
    <row r="1191" ht="18" customHeight="1" spans="1:7">
      <c r="A1191" s="7">
        <v>1189</v>
      </c>
      <c r="B1191" s="7" t="str">
        <f t="shared" si="65"/>
        <v>0402</v>
      </c>
      <c r="C1191" s="7" t="s">
        <v>54</v>
      </c>
      <c r="D1191" s="7" t="s">
        <v>52</v>
      </c>
      <c r="E1191" s="7" t="str">
        <f>"李玲丽"</f>
        <v>李玲丽</v>
      </c>
      <c r="F1191" s="7" t="s">
        <v>53</v>
      </c>
      <c r="G1191" s="7"/>
    </row>
    <row r="1192" ht="18" customHeight="1" spans="1:7">
      <c r="A1192" s="7">
        <v>1190</v>
      </c>
      <c r="B1192" s="7" t="str">
        <f t="shared" si="65"/>
        <v>0402</v>
      </c>
      <c r="C1192" s="7" t="s">
        <v>54</v>
      </c>
      <c r="D1192" s="7" t="s">
        <v>52</v>
      </c>
      <c r="E1192" s="7" t="str">
        <f>"任箫"</f>
        <v>任箫</v>
      </c>
      <c r="F1192" s="7" t="s">
        <v>53</v>
      </c>
      <c r="G1192" s="7"/>
    </row>
    <row r="1193" ht="18" customHeight="1" spans="1:7">
      <c r="A1193" s="7">
        <v>1191</v>
      </c>
      <c r="B1193" s="7" t="str">
        <f t="shared" si="65"/>
        <v>0402</v>
      </c>
      <c r="C1193" s="7" t="s">
        <v>54</v>
      </c>
      <c r="D1193" s="7" t="s">
        <v>52</v>
      </c>
      <c r="E1193" s="7" t="str">
        <f>"高雅"</f>
        <v>高雅</v>
      </c>
      <c r="F1193" s="7" t="s">
        <v>53</v>
      </c>
      <c r="G1193" s="7"/>
    </row>
    <row r="1194" ht="18" customHeight="1" spans="1:7">
      <c r="A1194" s="7">
        <v>1192</v>
      </c>
      <c r="B1194" s="7" t="str">
        <f t="shared" si="65"/>
        <v>0402</v>
      </c>
      <c r="C1194" s="7" t="s">
        <v>54</v>
      </c>
      <c r="D1194" s="7" t="s">
        <v>52</v>
      </c>
      <c r="E1194" s="7" t="str">
        <f>"郭云峰"</f>
        <v>郭云峰</v>
      </c>
      <c r="F1194" s="7" t="s">
        <v>53</v>
      </c>
      <c r="G1194" s="7"/>
    </row>
    <row r="1195" ht="18" customHeight="1" spans="1:7">
      <c r="A1195" s="7">
        <v>1193</v>
      </c>
      <c r="B1195" s="7" t="str">
        <f t="shared" si="65"/>
        <v>0402</v>
      </c>
      <c r="C1195" s="7" t="s">
        <v>54</v>
      </c>
      <c r="D1195" s="7" t="s">
        <v>52</v>
      </c>
      <c r="E1195" s="7" t="str">
        <f>"陈华清"</f>
        <v>陈华清</v>
      </c>
      <c r="F1195" s="7" t="s">
        <v>53</v>
      </c>
      <c r="G1195" s="7"/>
    </row>
    <row r="1196" ht="18" customHeight="1" spans="1:7">
      <c r="A1196" s="7">
        <v>1194</v>
      </c>
      <c r="B1196" s="7" t="str">
        <f t="shared" si="65"/>
        <v>0402</v>
      </c>
      <c r="C1196" s="7" t="s">
        <v>54</v>
      </c>
      <c r="D1196" s="7" t="s">
        <v>52</v>
      </c>
      <c r="E1196" s="7" t="str">
        <f>"唐君礼"</f>
        <v>唐君礼</v>
      </c>
      <c r="F1196" s="7" t="s">
        <v>53</v>
      </c>
      <c r="G1196" s="7"/>
    </row>
    <row r="1197" ht="18" customHeight="1" spans="1:7">
      <c r="A1197" s="7">
        <v>1195</v>
      </c>
      <c r="B1197" s="7" t="str">
        <f t="shared" si="65"/>
        <v>0402</v>
      </c>
      <c r="C1197" s="7" t="s">
        <v>54</v>
      </c>
      <c r="D1197" s="7" t="s">
        <v>52</v>
      </c>
      <c r="E1197" s="7" t="str">
        <f>"陈立欣"</f>
        <v>陈立欣</v>
      </c>
      <c r="F1197" s="7" t="s">
        <v>53</v>
      </c>
      <c r="G1197" s="7"/>
    </row>
    <row r="1198" ht="18" customHeight="1" spans="1:7">
      <c r="A1198" s="7">
        <v>1196</v>
      </c>
      <c r="B1198" s="7" t="str">
        <f t="shared" si="65"/>
        <v>0402</v>
      </c>
      <c r="C1198" s="7" t="s">
        <v>54</v>
      </c>
      <c r="D1198" s="7" t="s">
        <v>52</v>
      </c>
      <c r="E1198" s="7" t="str">
        <f>"李美玲"</f>
        <v>李美玲</v>
      </c>
      <c r="F1198" s="7" t="s">
        <v>53</v>
      </c>
      <c r="G1198" s="7"/>
    </row>
    <row r="1199" ht="18" customHeight="1" spans="1:7">
      <c r="A1199" s="7">
        <v>1197</v>
      </c>
      <c r="B1199" s="7" t="str">
        <f t="shared" si="65"/>
        <v>0402</v>
      </c>
      <c r="C1199" s="7" t="s">
        <v>54</v>
      </c>
      <c r="D1199" s="7" t="s">
        <v>52</v>
      </c>
      <c r="E1199" s="7" t="str">
        <f>"吴辉晶"</f>
        <v>吴辉晶</v>
      </c>
      <c r="F1199" s="7" t="s">
        <v>53</v>
      </c>
      <c r="G1199" s="7"/>
    </row>
    <row r="1200" ht="18" customHeight="1" spans="1:7">
      <c r="A1200" s="7">
        <v>1198</v>
      </c>
      <c r="B1200" s="7" t="str">
        <f t="shared" si="65"/>
        <v>0402</v>
      </c>
      <c r="C1200" s="7" t="s">
        <v>54</v>
      </c>
      <c r="D1200" s="7" t="s">
        <v>52</v>
      </c>
      <c r="E1200" s="7" t="str">
        <f>"苗青青"</f>
        <v>苗青青</v>
      </c>
      <c r="F1200" s="7" t="s">
        <v>53</v>
      </c>
      <c r="G1200" s="7"/>
    </row>
    <row r="1201" ht="18" customHeight="1" spans="1:7">
      <c r="A1201" s="7">
        <v>1199</v>
      </c>
      <c r="B1201" s="7" t="str">
        <f t="shared" si="65"/>
        <v>0402</v>
      </c>
      <c r="C1201" s="7" t="s">
        <v>54</v>
      </c>
      <c r="D1201" s="7" t="s">
        <v>52</v>
      </c>
      <c r="E1201" s="7" t="str">
        <f>"严寒予"</f>
        <v>严寒予</v>
      </c>
      <c r="F1201" s="7" t="s">
        <v>53</v>
      </c>
      <c r="G1201" s="7"/>
    </row>
    <row r="1202" ht="18" customHeight="1" spans="1:7">
      <c r="A1202" s="7">
        <v>1200</v>
      </c>
      <c r="B1202" s="7" t="str">
        <f t="shared" si="65"/>
        <v>0402</v>
      </c>
      <c r="C1202" s="7" t="s">
        <v>54</v>
      </c>
      <c r="D1202" s="7" t="s">
        <v>52</v>
      </c>
      <c r="E1202" s="7" t="str">
        <f>"丁琪"</f>
        <v>丁琪</v>
      </c>
      <c r="F1202" s="7" t="s">
        <v>53</v>
      </c>
      <c r="G1202" s="7"/>
    </row>
    <row r="1203" ht="18" customHeight="1" spans="1:7">
      <c r="A1203" s="7">
        <v>1201</v>
      </c>
      <c r="B1203" s="7" t="str">
        <f t="shared" si="65"/>
        <v>0402</v>
      </c>
      <c r="C1203" s="7" t="s">
        <v>54</v>
      </c>
      <c r="D1203" s="7" t="s">
        <v>52</v>
      </c>
      <c r="E1203" s="7" t="str">
        <f>"厉宗吉"</f>
        <v>厉宗吉</v>
      </c>
      <c r="F1203" s="7" t="s">
        <v>53</v>
      </c>
      <c r="G1203" s="7"/>
    </row>
    <row r="1204" ht="18" customHeight="1" spans="1:7">
      <c r="A1204" s="7">
        <v>1202</v>
      </c>
      <c r="B1204" s="7" t="str">
        <f t="shared" si="65"/>
        <v>0402</v>
      </c>
      <c r="C1204" s="7" t="s">
        <v>54</v>
      </c>
      <c r="D1204" s="7" t="s">
        <v>52</v>
      </c>
      <c r="E1204" s="7" t="str">
        <f>"杨乐"</f>
        <v>杨乐</v>
      </c>
      <c r="F1204" s="7" t="s">
        <v>53</v>
      </c>
      <c r="G1204" s="7"/>
    </row>
    <row r="1205" ht="18" customHeight="1" spans="1:7">
      <c r="A1205" s="7">
        <v>1203</v>
      </c>
      <c r="B1205" s="7" t="str">
        <f t="shared" si="65"/>
        <v>0402</v>
      </c>
      <c r="C1205" s="7" t="s">
        <v>54</v>
      </c>
      <c r="D1205" s="7" t="s">
        <v>52</v>
      </c>
      <c r="E1205" s="7" t="str">
        <f>"赵杰"</f>
        <v>赵杰</v>
      </c>
      <c r="F1205" s="7" t="s">
        <v>53</v>
      </c>
      <c r="G1205" s="7"/>
    </row>
    <row r="1206" ht="18" customHeight="1" spans="1:7">
      <c r="A1206" s="7">
        <v>1204</v>
      </c>
      <c r="B1206" s="7" t="str">
        <f t="shared" si="65"/>
        <v>0402</v>
      </c>
      <c r="C1206" s="7" t="s">
        <v>54</v>
      </c>
      <c r="D1206" s="7" t="s">
        <v>52</v>
      </c>
      <c r="E1206" s="7" t="str">
        <f>"鄢雨丽"</f>
        <v>鄢雨丽</v>
      </c>
      <c r="F1206" s="7" t="s">
        <v>53</v>
      </c>
      <c r="G1206" s="7"/>
    </row>
    <row r="1207" ht="18" customHeight="1" spans="1:7">
      <c r="A1207" s="7">
        <v>1205</v>
      </c>
      <c r="B1207" s="7" t="str">
        <f t="shared" si="65"/>
        <v>0402</v>
      </c>
      <c r="C1207" s="7" t="s">
        <v>54</v>
      </c>
      <c r="D1207" s="7" t="s">
        <v>52</v>
      </c>
      <c r="E1207" s="7" t="str">
        <f>"王雨婷"</f>
        <v>王雨婷</v>
      </c>
      <c r="F1207" s="7" t="s">
        <v>53</v>
      </c>
      <c r="G1207" s="7"/>
    </row>
    <row r="1208" ht="18" customHeight="1" spans="1:7">
      <c r="A1208" s="7">
        <v>1206</v>
      </c>
      <c r="B1208" s="7" t="str">
        <f t="shared" si="65"/>
        <v>0402</v>
      </c>
      <c r="C1208" s="7" t="s">
        <v>54</v>
      </c>
      <c r="D1208" s="7" t="s">
        <v>52</v>
      </c>
      <c r="E1208" s="7" t="str">
        <f>"吴娇颖"</f>
        <v>吴娇颖</v>
      </c>
      <c r="F1208" s="7" t="s">
        <v>53</v>
      </c>
      <c r="G1208" s="7"/>
    </row>
    <row r="1209" ht="18" customHeight="1" spans="1:7">
      <c r="A1209" s="7">
        <v>1207</v>
      </c>
      <c r="B1209" s="7" t="str">
        <f t="shared" si="65"/>
        <v>0402</v>
      </c>
      <c r="C1209" s="7" t="s">
        <v>54</v>
      </c>
      <c r="D1209" s="7" t="s">
        <v>52</v>
      </c>
      <c r="E1209" s="7" t="str">
        <f>"张乐阳"</f>
        <v>张乐阳</v>
      </c>
      <c r="F1209" s="7" t="s">
        <v>53</v>
      </c>
      <c r="G1209" s="7"/>
    </row>
    <row r="1210" ht="18" customHeight="1" spans="1:7">
      <c r="A1210" s="7">
        <v>1208</v>
      </c>
      <c r="B1210" s="7" t="str">
        <f t="shared" si="65"/>
        <v>0402</v>
      </c>
      <c r="C1210" s="7" t="s">
        <v>54</v>
      </c>
      <c r="D1210" s="7" t="s">
        <v>52</v>
      </c>
      <c r="E1210" s="7" t="str">
        <f>"陈木养"</f>
        <v>陈木养</v>
      </c>
      <c r="F1210" s="7" t="s">
        <v>53</v>
      </c>
      <c r="G1210" s="7"/>
    </row>
    <row r="1211" ht="18" customHeight="1" spans="1:7">
      <c r="A1211" s="7">
        <v>1209</v>
      </c>
      <c r="B1211" s="7" t="str">
        <f t="shared" si="65"/>
        <v>0402</v>
      </c>
      <c r="C1211" s="7" t="s">
        <v>54</v>
      </c>
      <c r="D1211" s="7" t="s">
        <v>52</v>
      </c>
      <c r="E1211" s="7" t="str">
        <f>"金芝"</f>
        <v>金芝</v>
      </c>
      <c r="F1211" s="7" t="s">
        <v>53</v>
      </c>
      <c r="G1211" s="7"/>
    </row>
    <row r="1212" ht="18" customHeight="1" spans="1:7">
      <c r="A1212" s="7">
        <v>1210</v>
      </c>
      <c r="B1212" s="7" t="str">
        <f t="shared" si="65"/>
        <v>0402</v>
      </c>
      <c r="C1212" s="7" t="s">
        <v>54</v>
      </c>
      <c r="D1212" s="7" t="s">
        <v>52</v>
      </c>
      <c r="E1212" s="7" t="str">
        <f>"伍文博"</f>
        <v>伍文博</v>
      </c>
      <c r="F1212" s="7" t="s">
        <v>53</v>
      </c>
      <c r="G1212" s="7"/>
    </row>
    <row r="1213" ht="18" customHeight="1" spans="1:7">
      <c r="A1213" s="7">
        <v>1211</v>
      </c>
      <c r="B1213" s="7" t="str">
        <f t="shared" si="65"/>
        <v>0402</v>
      </c>
      <c r="C1213" s="7" t="s">
        <v>54</v>
      </c>
      <c r="D1213" s="7" t="s">
        <v>52</v>
      </c>
      <c r="E1213" s="7" t="str">
        <f>"吴美娜"</f>
        <v>吴美娜</v>
      </c>
      <c r="F1213" s="7" t="s">
        <v>53</v>
      </c>
      <c r="G1213" s="7"/>
    </row>
    <row r="1214" ht="18" customHeight="1" spans="1:7">
      <c r="A1214" s="7">
        <v>1212</v>
      </c>
      <c r="B1214" s="7" t="str">
        <f t="shared" si="65"/>
        <v>0402</v>
      </c>
      <c r="C1214" s="7" t="s">
        <v>54</v>
      </c>
      <c r="D1214" s="7" t="s">
        <v>52</v>
      </c>
      <c r="E1214" s="7" t="str">
        <f>"曾若菡"</f>
        <v>曾若菡</v>
      </c>
      <c r="F1214" s="7" t="s">
        <v>53</v>
      </c>
      <c r="G1214" s="7"/>
    </row>
    <row r="1215" ht="18" customHeight="1" spans="1:7">
      <c r="A1215" s="7">
        <v>1213</v>
      </c>
      <c r="B1215" s="7" t="str">
        <f t="shared" si="65"/>
        <v>0402</v>
      </c>
      <c r="C1215" s="7" t="s">
        <v>54</v>
      </c>
      <c r="D1215" s="7" t="s">
        <v>52</v>
      </c>
      <c r="E1215" s="7" t="str">
        <f>"孙一僡"</f>
        <v>孙一僡</v>
      </c>
      <c r="F1215" s="7" t="s">
        <v>53</v>
      </c>
      <c r="G1215" s="7"/>
    </row>
    <row r="1216" ht="18" customHeight="1" spans="1:7">
      <c r="A1216" s="7">
        <v>1214</v>
      </c>
      <c r="B1216" s="7" t="str">
        <f t="shared" si="65"/>
        <v>0402</v>
      </c>
      <c r="C1216" s="7" t="s">
        <v>54</v>
      </c>
      <c r="D1216" s="7" t="s">
        <v>52</v>
      </c>
      <c r="E1216" s="7" t="str">
        <f>"严佳星"</f>
        <v>严佳星</v>
      </c>
      <c r="F1216" s="7" t="s">
        <v>53</v>
      </c>
      <c r="G1216" s="7"/>
    </row>
    <row r="1217" ht="18" customHeight="1" spans="1:7">
      <c r="A1217" s="7">
        <v>1215</v>
      </c>
      <c r="B1217" s="7" t="str">
        <f>"0402"</f>
        <v>0402</v>
      </c>
      <c r="C1217" s="7" t="s">
        <v>54</v>
      </c>
      <c r="D1217" s="7" t="s">
        <v>52</v>
      </c>
      <c r="E1217" s="7" t="str">
        <f>"卯明成"</f>
        <v>卯明成</v>
      </c>
      <c r="F1217" s="7" t="s">
        <v>53</v>
      </c>
      <c r="G1217" s="7"/>
    </row>
    <row r="1218" ht="18" customHeight="1" spans="1:7">
      <c r="A1218" s="7">
        <v>1216</v>
      </c>
      <c r="B1218" s="7" t="str">
        <f t="shared" ref="B1218:B1281" si="66">"0403"</f>
        <v>0403</v>
      </c>
      <c r="C1218" s="7" t="s">
        <v>55</v>
      </c>
      <c r="D1218" s="7" t="s">
        <v>52</v>
      </c>
      <c r="E1218" s="7" t="str">
        <f>"赵梓彤"</f>
        <v>赵梓彤</v>
      </c>
      <c r="F1218" s="7" t="s">
        <v>53</v>
      </c>
      <c r="G1218" s="7"/>
    </row>
    <row r="1219" ht="18" customHeight="1" spans="1:7">
      <c r="A1219" s="7">
        <v>1217</v>
      </c>
      <c r="B1219" s="7" t="str">
        <f t="shared" si="66"/>
        <v>0403</v>
      </c>
      <c r="C1219" s="7" t="s">
        <v>55</v>
      </c>
      <c r="D1219" s="7" t="s">
        <v>52</v>
      </c>
      <c r="E1219" s="7" t="str">
        <f>"孙浩然"</f>
        <v>孙浩然</v>
      </c>
      <c r="F1219" s="7" t="s">
        <v>53</v>
      </c>
      <c r="G1219" s="7"/>
    </row>
    <row r="1220" ht="18" customHeight="1" spans="1:7">
      <c r="A1220" s="7">
        <v>1218</v>
      </c>
      <c r="B1220" s="7" t="str">
        <f t="shared" si="66"/>
        <v>0403</v>
      </c>
      <c r="C1220" s="7" t="s">
        <v>55</v>
      </c>
      <c r="D1220" s="7" t="s">
        <v>52</v>
      </c>
      <c r="E1220" s="7" t="str">
        <f>"梁奇伟"</f>
        <v>梁奇伟</v>
      </c>
      <c r="F1220" s="7" t="s">
        <v>53</v>
      </c>
      <c r="G1220" s="7"/>
    </row>
    <row r="1221" ht="18" customHeight="1" spans="1:7">
      <c r="A1221" s="7">
        <v>1219</v>
      </c>
      <c r="B1221" s="7" t="str">
        <f t="shared" si="66"/>
        <v>0403</v>
      </c>
      <c r="C1221" s="7" t="s">
        <v>55</v>
      </c>
      <c r="D1221" s="7" t="s">
        <v>52</v>
      </c>
      <c r="E1221" s="7" t="str">
        <f>"袁漫婷"</f>
        <v>袁漫婷</v>
      </c>
      <c r="F1221" s="7" t="s">
        <v>53</v>
      </c>
      <c r="G1221" s="7"/>
    </row>
    <row r="1222" ht="18" customHeight="1" spans="1:7">
      <c r="A1222" s="7">
        <v>1220</v>
      </c>
      <c r="B1222" s="7" t="str">
        <f t="shared" si="66"/>
        <v>0403</v>
      </c>
      <c r="C1222" s="7" t="s">
        <v>55</v>
      </c>
      <c r="D1222" s="7" t="s">
        <v>52</v>
      </c>
      <c r="E1222" s="7" t="str">
        <f>"陈月森"</f>
        <v>陈月森</v>
      </c>
      <c r="F1222" s="7" t="s">
        <v>53</v>
      </c>
      <c r="G1222" s="7"/>
    </row>
    <row r="1223" ht="18" customHeight="1" spans="1:7">
      <c r="A1223" s="7">
        <v>1221</v>
      </c>
      <c r="B1223" s="7" t="str">
        <f t="shared" si="66"/>
        <v>0403</v>
      </c>
      <c r="C1223" s="7" t="s">
        <v>55</v>
      </c>
      <c r="D1223" s="7" t="s">
        <v>52</v>
      </c>
      <c r="E1223" s="7" t="str">
        <f>"王录超"</f>
        <v>王录超</v>
      </c>
      <c r="F1223" s="7" t="s">
        <v>53</v>
      </c>
      <c r="G1223" s="7"/>
    </row>
    <row r="1224" ht="18" customHeight="1" spans="1:7">
      <c r="A1224" s="7">
        <v>1222</v>
      </c>
      <c r="B1224" s="7" t="str">
        <f t="shared" si="66"/>
        <v>0403</v>
      </c>
      <c r="C1224" s="7" t="s">
        <v>55</v>
      </c>
      <c r="D1224" s="7" t="s">
        <v>52</v>
      </c>
      <c r="E1224" s="7" t="str">
        <f>"孙越晗"</f>
        <v>孙越晗</v>
      </c>
      <c r="F1224" s="7" t="s">
        <v>53</v>
      </c>
      <c r="G1224" s="7"/>
    </row>
    <row r="1225" ht="18" customHeight="1" spans="1:7">
      <c r="A1225" s="7">
        <v>1223</v>
      </c>
      <c r="B1225" s="7" t="str">
        <f t="shared" si="66"/>
        <v>0403</v>
      </c>
      <c r="C1225" s="7" t="s">
        <v>55</v>
      </c>
      <c r="D1225" s="7" t="s">
        <v>52</v>
      </c>
      <c r="E1225" s="7" t="str">
        <f>"曹力萌"</f>
        <v>曹力萌</v>
      </c>
      <c r="F1225" s="7" t="s">
        <v>53</v>
      </c>
      <c r="G1225" s="7"/>
    </row>
    <row r="1226" ht="18" customHeight="1" spans="1:7">
      <c r="A1226" s="7">
        <v>1224</v>
      </c>
      <c r="B1226" s="7" t="str">
        <f t="shared" si="66"/>
        <v>0403</v>
      </c>
      <c r="C1226" s="7" t="s">
        <v>55</v>
      </c>
      <c r="D1226" s="7" t="s">
        <v>52</v>
      </c>
      <c r="E1226" s="7" t="str">
        <f>"任宇豪"</f>
        <v>任宇豪</v>
      </c>
      <c r="F1226" s="7" t="s">
        <v>53</v>
      </c>
      <c r="G1226" s="7"/>
    </row>
    <row r="1227" ht="18" customHeight="1" spans="1:7">
      <c r="A1227" s="7">
        <v>1225</v>
      </c>
      <c r="B1227" s="7" t="str">
        <f t="shared" si="66"/>
        <v>0403</v>
      </c>
      <c r="C1227" s="7" t="s">
        <v>55</v>
      </c>
      <c r="D1227" s="7" t="s">
        <v>52</v>
      </c>
      <c r="E1227" s="7" t="str">
        <f>"耿广安"</f>
        <v>耿广安</v>
      </c>
      <c r="F1227" s="7" t="s">
        <v>53</v>
      </c>
      <c r="G1227" s="7"/>
    </row>
    <row r="1228" ht="18" customHeight="1" spans="1:7">
      <c r="A1228" s="7">
        <v>1226</v>
      </c>
      <c r="B1228" s="7" t="str">
        <f t="shared" si="66"/>
        <v>0403</v>
      </c>
      <c r="C1228" s="7" t="s">
        <v>55</v>
      </c>
      <c r="D1228" s="7" t="s">
        <v>52</v>
      </c>
      <c r="E1228" s="7" t="str">
        <f>"黄玲"</f>
        <v>黄玲</v>
      </c>
      <c r="F1228" s="7" t="s">
        <v>53</v>
      </c>
      <c r="G1228" s="7"/>
    </row>
    <row r="1229" ht="18" customHeight="1" spans="1:7">
      <c r="A1229" s="7">
        <v>1227</v>
      </c>
      <c r="B1229" s="7" t="str">
        <f t="shared" si="66"/>
        <v>0403</v>
      </c>
      <c r="C1229" s="7" t="s">
        <v>55</v>
      </c>
      <c r="D1229" s="7" t="s">
        <v>52</v>
      </c>
      <c r="E1229" s="7" t="str">
        <f>"郭瑢"</f>
        <v>郭瑢</v>
      </c>
      <c r="F1229" s="7" t="s">
        <v>53</v>
      </c>
      <c r="G1229" s="7"/>
    </row>
    <row r="1230" ht="18" customHeight="1" spans="1:7">
      <c r="A1230" s="7">
        <v>1228</v>
      </c>
      <c r="B1230" s="7" t="str">
        <f t="shared" si="66"/>
        <v>0403</v>
      </c>
      <c r="C1230" s="7" t="s">
        <v>55</v>
      </c>
      <c r="D1230" s="7" t="s">
        <v>52</v>
      </c>
      <c r="E1230" s="7" t="str">
        <f>"张曼玥"</f>
        <v>张曼玥</v>
      </c>
      <c r="F1230" s="7" t="s">
        <v>53</v>
      </c>
      <c r="G1230" s="7"/>
    </row>
    <row r="1231" ht="18" customHeight="1" spans="1:7">
      <c r="A1231" s="7">
        <v>1229</v>
      </c>
      <c r="B1231" s="7" t="str">
        <f t="shared" si="66"/>
        <v>0403</v>
      </c>
      <c r="C1231" s="7" t="s">
        <v>55</v>
      </c>
      <c r="D1231" s="7" t="s">
        <v>52</v>
      </c>
      <c r="E1231" s="7" t="str">
        <f>"曹楚昕"</f>
        <v>曹楚昕</v>
      </c>
      <c r="F1231" s="7" t="s">
        <v>53</v>
      </c>
      <c r="G1231" s="7"/>
    </row>
    <row r="1232" ht="18" customHeight="1" spans="1:7">
      <c r="A1232" s="7">
        <v>1230</v>
      </c>
      <c r="B1232" s="7" t="str">
        <f t="shared" si="66"/>
        <v>0403</v>
      </c>
      <c r="C1232" s="7" t="s">
        <v>55</v>
      </c>
      <c r="D1232" s="7" t="s">
        <v>52</v>
      </c>
      <c r="E1232" s="7" t="str">
        <f>"崔一帆"</f>
        <v>崔一帆</v>
      </c>
      <c r="F1232" s="7" t="s">
        <v>53</v>
      </c>
      <c r="G1232" s="7"/>
    </row>
    <row r="1233" ht="18" customHeight="1" spans="1:7">
      <c r="A1233" s="7">
        <v>1231</v>
      </c>
      <c r="B1233" s="7" t="str">
        <f t="shared" si="66"/>
        <v>0403</v>
      </c>
      <c r="C1233" s="7" t="s">
        <v>55</v>
      </c>
      <c r="D1233" s="7" t="s">
        <v>52</v>
      </c>
      <c r="E1233" s="7" t="str">
        <f>"巩裕豪"</f>
        <v>巩裕豪</v>
      </c>
      <c r="F1233" s="7" t="s">
        <v>53</v>
      </c>
      <c r="G1233" s="7"/>
    </row>
    <row r="1234" ht="18" customHeight="1" spans="1:7">
      <c r="A1234" s="7">
        <v>1232</v>
      </c>
      <c r="B1234" s="7" t="str">
        <f t="shared" si="66"/>
        <v>0403</v>
      </c>
      <c r="C1234" s="7" t="s">
        <v>55</v>
      </c>
      <c r="D1234" s="7" t="s">
        <v>52</v>
      </c>
      <c r="E1234" s="7" t="str">
        <f>"刘嘉琛"</f>
        <v>刘嘉琛</v>
      </c>
      <c r="F1234" s="7" t="s">
        <v>53</v>
      </c>
      <c r="G1234" s="7"/>
    </row>
    <row r="1235" ht="18" customHeight="1" spans="1:7">
      <c r="A1235" s="7">
        <v>1233</v>
      </c>
      <c r="B1235" s="7" t="str">
        <f t="shared" si="66"/>
        <v>0403</v>
      </c>
      <c r="C1235" s="7" t="s">
        <v>55</v>
      </c>
      <c r="D1235" s="7" t="s">
        <v>52</v>
      </c>
      <c r="E1235" s="7" t="str">
        <f>"苏越"</f>
        <v>苏越</v>
      </c>
      <c r="F1235" s="7" t="s">
        <v>53</v>
      </c>
      <c r="G1235" s="7"/>
    </row>
    <row r="1236" ht="18" customHeight="1" spans="1:7">
      <c r="A1236" s="7">
        <v>1234</v>
      </c>
      <c r="B1236" s="7" t="str">
        <f t="shared" si="66"/>
        <v>0403</v>
      </c>
      <c r="C1236" s="7" t="s">
        <v>55</v>
      </c>
      <c r="D1236" s="7" t="s">
        <v>52</v>
      </c>
      <c r="E1236" s="7" t="str">
        <f>"万瑶"</f>
        <v>万瑶</v>
      </c>
      <c r="F1236" s="7" t="s">
        <v>53</v>
      </c>
      <c r="G1236" s="7"/>
    </row>
    <row r="1237" ht="18" customHeight="1" spans="1:7">
      <c r="A1237" s="7">
        <v>1235</v>
      </c>
      <c r="B1237" s="7" t="str">
        <f t="shared" si="66"/>
        <v>0403</v>
      </c>
      <c r="C1237" s="7" t="s">
        <v>55</v>
      </c>
      <c r="D1237" s="7" t="s">
        <v>52</v>
      </c>
      <c r="E1237" s="7" t="str">
        <f>"吕璐璐"</f>
        <v>吕璐璐</v>
      </c>
      <c r="F1237" s="7" t="s">
        <v>53</v>
      </c>
      <c r="G1237" s="7"/>
    </row>
    <row r="1238" ht="18" customHeight="1" spans="1:7">
      <c r="A1238" s="7">
        <v>1236</v>
      </c>
      <c r="B1238" s="7" t="str">
        <f t="shared" si="66"/>
        <v>0403</v>
      </c>
      <c r="C1238" s="7" t="s">
        <v>55</v>
      </c>
      <c r="D1238" s="7" t="s">
        <v>52</v>
      </c>
      <c r="E1238" s="7" t="str">
        <f>"王雪婷"</f>
        <v>王雪婷</v>
      </c>
      <c r="F1238" s="7" t="s">
        <v>53</v>
      </c>
      <c r="G1238" s="7"/>
    </row>
    <row r="1239" ht="18" customHeight="1" spans="1:7">
      <c r="A1239" s="7">
        <v>1237</v>
      </c>
      <c r="B1239" s="7" t="str">
        <f t="shared" si="66"/>
        <v>0403</v>
      </c>
      <c r="C1239" s="7" t="s">
        <v>55</v>
      </c>
      <c r="D1239" s="7" t="s">
        <v>52</v>
      </c>
      <c r="E1239" s="7" t="str">
        <f>"丁宇"</f>
        <v>丁宇</v>
      </c>
      <c r="F1239" s="7" t="s">
        <v>53</v>
      </c>
      <c r="G1239" s="7"/>
    </row>
    <row r="1240" ht="18" customHeight="1" spans="1:7">
      <c r="A1240" s="7">
        <v>1238</v>
      </c>
      <c r="B1240" s="7" t="str">
        <f t="shared" si="66"/>
        <v>0403</v>
      </c>
      <c r="C1240" s="7" t="s">
        <v>55</v>
      </c>
      <c r="D1240" s="7" t="s">
        <v>52</v>
      </c>
      <c r="E1240" s="7" t="str">
        <f>"蔡石妹"</f>
        <v>蔡石妹</v>
      </c>
      <c r="F1240" s="7" t="s">
        <v>53</v>
      </c>
      <c r="G1240" s="7"/>
    </row>
    <row r="1241" ht="18" customHeight="1" spans="1:7">
      <c r="A1241" s="7">
        <v>1239</v>
      </c>
      <c r="B1241" s="7" t="str">
        <f t="shared" si="66"/>
        <v>0403</v>
      </c>
      <c r="C1241" s="7" t="s">
        <v>55</v>
      </c>
      <c r="D1241" s="7" t="s">
        <v>52</v>
      </c>
      <c r="E1241" s="7" t="str">
        <f>"陈玉凤"</f>
        <v>陈玉凤</v>
      </c>
      <c r="F1241" s="7" t="s">
        <v>53</v>
      </c>
      <c r="G1241" s="7"/>
    </row>
    <row r="1242" ht="18" customHeight="1" spans="1:7">
      <c r="A1242" s="7">
        <v>1240</v>
      </c>
      <c r="B1242" s="7" t="str">
        <f t="shared" si="66"/>
        <v>0403</v>
      </c>
      <c r="C1242" s="7" t="s">
        <v>55</v>
      </c>
      <c r="D1242" s="7" t="s">
        <v>52</v>
      </c>
      <c r="E1242" s="7" t="str">
        <f>"张淼"</f>
        <v>张淼</v>
      </c>
      <c r="F1242" s="7" t="s">
        <v>53</v>
      </c>
      <c r="G1242" s="7"/>
    </row>
    <row r="1243" ht="18" customHeight="1" spans="1:7">
      <c r="A1243" s="7">
        <v>1241</v>
      </c>
      <c r="B1243" s="7" t="str">
        <f t="shared" si="66"/>
        <v>0403</v>
      </c>
      <c r="C1243" s="7" t="s">
        <v>55</v>
      </c>
      <c r="D1243" s="7" t="s">
        <v>52</v>
      </c>
      <c r="E1243" s="7" t="str">
        <f>"齐安"</f>
        <v>齐安</v>
      </c>
      <c r="F1243" s="7" t="s">
        <v>53</v>
      </c>
      <c r="G1243" s="7"/>
    </row>
    <row r="1244" ht="18" customHeight="1" spans="1:7">
      <c r="A1244" s="7">
        <v>1242</v>
      </c>
      <c r="B1244" s="7" t="str">
        <f t="shared" si="66"/>
        <v>0403</v>
      </c>
      <c r="C1244" s="7" t="s">
        <v>55</v>
      </c>
      <c r="D1244" s="7" t="s">
        <v>52</v>
      </c>
      <c r="E1244" s="7" t="str">
        <f>"韩相博"</f>
        <v>韩相博</v>
      </c>
      <c r="F1244" s="7" t="s">
        <v>53</v>
      </c>
      <c r="G1244" s="7"/>
    </row>
    <row r="1245" ht="18" customHeight="1" spans="1:7">
      <c r="A1245" s="7">
        <v>1243</v>
      </c>
      <c r="B1245" s="7" t="str">
        <f t="shared" si="66"/>
        <v>0403</v>
      </c>
      <c r="C1245" s="7" t="s">
        <v>55</v>
      </c>
      <c r="D1245" s="7" t="s">
        <v>52</v>
      </c>
      <c r="E1245" s="7" t="str">
        <f>"于淼"</f>
        <v>于淼</v>
      </c>
      <c r="F1245" s="7" t="s">
        <v>53</v>
      </c>
      <c r="G1245" s="7"/>
    </row>
    <row r="1246" ht="18" customHeight="1" spans="1:7">
      <c r="A1246" s="7">
        <v>1244</v>
      </c>
      <c r="B1246" s="7" t="str">
        <f t="shared" si="66"/>
        <v>0403</v>
      </c>
      <c r="C1246" s="7" t="s">
        <v>55</v>
      </c>
      <c r="D1246" s="7" t="s">
        <v>52</v>
      </c>
      <c r="E1246" s="7" t="str">
        <f>"王静怡"</f>
        <v>王静怡</v>
      </c>
      <c r="F1246" s="7" t="s">
        <v>53</v>
      </c>
      <c r="G1246" s="7"/>
    </row>
    <row r="1247" ht="18" customHeight="1" spans="1:7">
      <c r="A1247" s="7">
        <v>1245</v>
      </c>
      <c r="B1247" s="7" t="str">
        <f t="shared" si="66"/>
        <v>0403</v>
      </c>
      <c r="C1247" s="7" t="s">
        <v>55</v>
      </c>
      <c r="D1247" s="7" t="s">
        <v>52</v>
      </c>
      <c r="E1247" s="7" t="str">
        <f>"宋晓旭"</f>
        <v>宋晓旭</v>
      </c>
      <c r="F1247" s="7" t="s">
        <v>53</v>
      </c>
      <c r="G1247" s="7"/>
    </row>
    <row r="1248" ht="18" customHeight="1" spans="1:7">
      <c r="A1248" s="7">
        <v>1246</v>
      </c>
      <c r="B1248" s="7" t="str">
        <f t="shared" si="66"/>
        <v>0403</v>
      </c>
      <c r="C1248" s="7" t="s">
        <v>55</v>
      </c>
      <c r="D1248" s="7" t="s">
        <v>52</v>
      </c>
      <c r="E1248" s="7" t="str">
        <f>"苻海俊"</f>
        <v>苻海俊</v>
      </c>
      <c r="F1248" s="7" t="s">
        <v>53</v>
      </c>
      <c r="G1248" s="7"/>
    </row>
    <row r="1249" ht="18" customHeight="1" spans="1:7">
      <c r="A1249" s="7">
        <v>1247</v>
      </c>
      <c r="B1249" s="7" t="str">
        <f t="shared" si="66"/>
        <v>0403</v>
      </c>
      <c r="C1249" s="7" t="s">
        <v>55</v>
      </c>
      <c r="D1249" s="7" t="s">
        <v>52</v>
      </c>
      <c r="E1249" s="7" t="str">
        <f>"刘梦"</f>
        <v>刘梦</v>
      </c>
      <c r="F1249" s="7" t="s">
        <v>53</v>
      </c>
      <c r="G1249" s="7"/>
    </row>
    <row r="1250" ht="18" customHeight="1" spans="1:7">
      <c r="A1250" s="7">
        <v>1248</v>
      </c>
      <c r="B1250" s="7" t="str">
        <f t="shared" si="66"/>
        <v>0403</v>
      </c>
      <c r="C1250" s="7" t="s">
        <v>55</v>
      </c>
      <c r="D1250" s="7" t="s">
        <v>52</v>
      </c>
      <c r="E1250" s="7" t="str">
        <f>"沈莹"</f>
        <v>沈莹</v>
      </c>
      <c r="F1250" s="7" t="s">
        <v>53</v>
      </c>
      <c r="G1250" s="7"/>
    </row>
    <row r="1251" ht="18" customHeight="1" spans="1:7">
      <c r="A1251" s="7">
        <v>1249</v>
      </c>
      <c r="B1251" s="7" t="str">
        <f t="shared" si="66"/>
        <v>0403</v>
      </c>
      <c r="C1251" s="7" t="s">
        <v>55</v>
      </c>
      <c r="D1251" s="7" t="s">
        <v>52</v>
      </c>
      <c r="E1251" s="7" t="str">
        <f>"张明珠"</f>
        <v>张明珠</v>
      </c>
      <c r="F1251" s="7" t="s">
        <v>53</v>
      </c>
      <c r="G1251" s="7"/>
    </row>
    <row r="1252" ht="18" customHeight="1" spans="1:7">
      <c r="A1252" s="7">
        <v>1250</v>
      </c>
      <c r="B1252" s="7" t="str">
        <f t="shared" si="66"/>
        <v>0403</v>
      </c>
      <c r="C1252" s="7" t="s">
        <v>55</v>
      </c>
      <c r="D1252" s="7" t="s">
        <v>52</v>
      </c>
      <c r="E1252" s="7" t="str">
        <f>"八托航帆"</f>
        <v>八托航帆</v>
      </c>
      <c r="F1252" s="7" t="s">
        <v>53</v>
      </c>
      <c r="G1252" s="7"/>
    </row>
    <row r="1253" ht="18" customHeight="1" spans="1:7">
      <c r="A1253" s="7">
        <v>1251</v>
      </c>
      <c r="B1253" s="7" t="str">
        <f t="shared" si="66"/>
        <v>0403</v>
      </c>
      <c r="C1253" s="7" t="s">
        <v>55</v>
      </c>
      <c r="D1253" s="7" t="s">
        <v>52</v>
      </c>
      <c r="E1253" s="7" t="str">
        <f>"李昕荻"</f>
        <v>李昕荻</v>
      </c>
      <c r="F1253" s="7" t="s">
        <v>53</v>
      </c>
      <c r="G1253" s="7"/>
    </row>
    <row r="1254" ht="18" customHeight="1" spans="1:7">
      <c r="A1254" s="7">
        <v>1252</v>
      </c>
      <c r="B1254" s="7" t="str">
        <f t="shared" si="66"/>
        <v>0403</v>
      </c>
      <c r="C1254" s="7" t="s">
        <v>55</v>
      </c>
      <c r="D1254" s="7" t="s">
        <v>52</v>
      </c>
      <c r="E1254" s="7" t="str">
        <f>"王逗"</f>
        <v>王逗</v>
      </c>
      <c r="F1254" s="7" t="s">
        <v>53</v>
      </c>
      <c r="G1254" s="7"/>
    </row>
    <row r="1255" ht="18" customHeight="1" spans="1:7">
      <c r="A1255" s="7">
        <v>1253</v>
      </c>
      <c r="B1255" s="7" t="str">
        <f t="shared" si="66"/>
        <v>0403</v>
      </c>
      <c r="C1255" s="7" t="s">
        <v>55</v>
      </c>
      <c r="D1255" s="7" t="s">
        <v>52</v>
      </c>
      <c r="E1255" s="7" t="str">
        <f>"刘金平"</f>
        <v>刘金平</v>
      </c>
      <c r="F1255" s="7" t="s">
        <v>53</v>
      </c>
      <c r="G1255" s="7"/>
    </row>
    <row r="1256" ht="18" customHeight="1" spans="1:7">
      <c r="A1256" s="7">
        <v>1254</v>
      </c>
      <c r="B1256" s="7" t="str">
        <f t="shared" si="66"/>
        <v>0403</v>
      </c>
      <c r="C1256" s="7" t="s">
        <v>55</v>
      </c>
      <c r="D1256" s="7" t="s">
        <v>52</v>
      </c>
      <c r="E1256" s="7" t="str">
        <f>"迟智冲"</f>
        <v>迟智冲</v>
      </c>
      <c r="F1256" s="7" t="s">
        <v>53</v>
      </c>
      <c r="G1256" s="7"/>
    </row>
    <row r="1257" ht="18" customHeight="1" spans="1:7">
      <c r="A1257" s="7">
        <v>1255</v>
      </c>
      <c r="B1257" s="7" t="str">
        <f t="shared" si="66"/>
        <v>0403</v>
      </c>
      <c r="C1257" s="7" t="s">
        <v>55</v>
      </c>
      <c r="D1257" s="7" t="s">
        <v>52</v>
      </c>
      <c r="E1257" s="7" t="str">
        <f>"陈佩佩"</f>
        <v>陈佩佩</v>
      </c>
      <c r="F1257" s="7" t="s">
        <v>53</v>
      </c>
      <c r="G1257" s="7"/>
    </row>
    <row r="1258" ht="18" customHeight="1" spans="1:7">
      <c r="A1258" s="7">
        <v>1256</v>
      </c>
      <c r="B1258" s="7" t="str">
        <f t="shared" si="66"/>
        <v>0403</v>
      </c>
      <c r="C1258" s="7" t="s">
        <v>55</v>
      </c>
      <c r="D1258" s="7" t="s">
        <v>52</v>
      </c>
      <c r="E1258" s="7" t="str">
        <f>"周琨"</f>
        <v>周琨</v>
      </c>
      <c r="F1258" s="7" t="s">
        <v>53</v>
      </c>
      <c r="G1258" s="7"/>
    </row>
    <row r="1259" ht="18" customHeight="1" spans="1:7">
      <c r="A1259" s="7">
        <v>1257</v>
      </c>
      <c r="B1259" s="7" t="str">
        <f t="shared" si="66"/>
        <v>0403</v>
      </c>
      <c r="C1259" s="7" t="s">
        <v>55</v>
      </c>
      <c r="D1259" s="7" t="s">
        <v>52</v>
      </c>
      <c r="E1259" s="7" t="str">
        <f>"陈雅文"</f>
        <v>陈雅文</v>
      </c>
      <c r="F1259" s="7" t="s">
        <v>53</v>
      </c>
      <c r="G1259" s="7"/>
    </row>
    <row r="1260" ht="18" customHeight="1" spans="1:7">
      <c r="A1260" s="7">
        <v>1258</v>
      </c>
      <c r="B1260" s="7" t="str">
        <f t="shared" si="66"/>
        <v>0403</v>
      </c>
      <c r="C1260" s="7" t="s">
        <v>55</v>
      </c>
      <c r="D1260" s="7" t="s">
        <v>52</v>
      </c>
      <c r="E1260" s="7" t="str">
        <f>"范幸慧"</f>
        <v>范幸慧</v>
      </c>
      <c r="F1260" s="7" t="s">
        <v>53</v>
      </c>
      <c r="G1260" s="7"/>
    </row>
    <row r="1261" ht="18" customHeight="1" spans="1:7">
      <c r="A1261" s="7">
        <v>1259</v>
      </c>
      <c r="B1261" s="7" t="str">
        <f t="shared" si="66"/>
        <v>0403</v>
      </c>
      <c r="C1261" s="7" t="s">
        <v>55</v>
      </c>
      <c r="D1261" s="7" t="s">
        <v>52</v>
      </c>
      <c r="E1261" s="7" t="str">
        <f>"马龙"</f>
        <v>马龙</v>
      </c>
      <c r="F1261" s="7" t="s">
        <v>53</v>
      </c>
      <c r="G1261" s="7"/>
    </row>
    <row r="1262" ht="18" customHeight="1" spans="1:7">
      <c r="A1262" s="7">
        <v>1260</v>
      </c>
      <c r="B1262" s="7" t="str">
        <f t="shared" si="66"/>
        <v>0403</v>
      </c>
      <c r="C1262" s="7" t="s">
        <v>55</v>
      </c>
      <c r="D1262" s="7" t="s">
        <v>52</v>
      </c>
      <c r="E1262" s="7" t="str">
        <f>"薛升宇"</f>
        <v>薛升宇</v>
      </c>
      <c r="F1262" s="7" t="s">
        <v>53</v>
      </c>
      <c r="G1262" s="7"/>
    </row>
    <row r="1263" ht="18" customHeight="1" spans="1:7">
      <c r="A1263" s="7">
        <v>1261</v>
      </c>
      <c r="B1263" s="7" t="str">
        <f t="shared" si="66"/>
        <v>0403</v>
      </c>
      <c r="C1263" s="7" t="s">
        <v>55</v>
      </c>
      <c r="D1263" s="7" t="s">
        <v>52</v>
      </c>
      <c r="E1263" s="7" t="str">
        <f>"蒲康延"</f>
        <v>蒲康延</v>
      </c>
      <c r="F1263" s="7" t="s">
        <v>53</v>
      </c>
      <c r="G1263" s="7"/>
    </row>
    <row r="1264" ht="18" customHeight="1" spans="1:7">
      <c r="A1264" s="7">
        <v>1262</v>
      </c>
      <c r="B1264" s="7" t="str">
        <f t="shared" si="66"/>
        <v>0403</v>
      </c>
      <c r="C1264" s="7" t="s">
        <v>55</v>
      </c>
      <c r="D1264" s="7" t="s">
        <v>52</v>
      </c>
      <c r="E1264" s="7" t="str">
        <f>"金筱琪"</f>
        <v>金筱琪</v>
      </c>
      <c r="F1264" s="7" t="s">
        <v>53</v>
      </c>
      <c r="G1264" s="7"/>
    </row>
    <row r="1265" ht="18" customHeight="1" spans="1:7">
      <c r="A1265" s="7">
        <v>1263</v>
      </c>
      <c r="B1265" s="7" t="str">
        <f t="shared" si="66"/>
        <v>0403</v>
      </c>
      <c r="C1265" s="7" t="s">
        <v>55</v>
      </c>
      <c r="D1265" s="7" t="s">
        <v>52</v>
      </c>
      <c r="E1265" s="7" t="str">
        <f>"董如歌"</f>
        <v>董如歌</v>
      </c>
      <c r="F1265" s="7" t="s">
        <v>53</v>
      </c>
      <c r="G1265" s="7"/>
    </row>
    <row r="1266" ht="18" customHeight="1" spans="1:7">
      <c r="A1266" s="7">
        <v>1264</v>
      </c>
      <c r="B1266" s="7" t="str">
        <f t="shared" si="66"/>
        <v>0403</v>
      </c>
      <c r="C1266" s="7" t="s">
        <v>55</v>
      </c>
      <c r="D1266" s="7" t="s">
        <v>52</v>
      </c>
      <c r="E1266" s="7" t="str">
        <f>"何思淼"</f>
        <v>何思淼</v>
      </c>
      <c r="F1266" s="7" t="s">
        <v>53</v>
      </c>
      <c r="G1266" s="7"/>
    </row>
    <row r="1267" ht="18" customHeight="1" spans="1:7">
      <c r="A1267" s="7">
        <v>1265</v>
      </c>
      <c r="B1267" s="7" t="str">
        <f t="shared" si="66"/>
        <v>0403</v>
      </c>
      <c r="C1267" s="7" t="s">
        <v>55</v>
      </c>
      <c r="D1267" s="7" t="s">
        <v>52</v>
      </c>
      <c r="E1267" s="7" t="str">
        <f>"郭锦萱"</f>
        <v>郭锦萱</v>
      </c>
      <c r="F1267" s="7" t="s">
        <v>53</v>
      </c>
      <c r="G1267" s="7"/>
    </row>
    <row r="1268" ht="18" customHeight="1" spans="1:7">
      <c r="A1268" s="7">
        <v>1266</v>
      </c>
      <c r="B1268" s="7" t="str">
        <f t="shared" si="66"/>
        <v>0403</v>
      </c>
      <c r="C1268" s="7" t="s">
        <v>55</v>
      </c>
      <c r="D1268" s="7" t="s">
        <v>52</v>
      </c>
      <c r="E1268" s="7" t="str">
        <f>"陈海勇"</f>
        <v>陈海勇</v>
      </c>
      <c r="F1268" s="7" t="s">
        <v>53</v>
      </c>
      <c r="G1268" s="7"/>
    </row>
    <row r="1269" ht="18" customHeight="1" spans="1:7">
      <c r="A1269" s="7">
        <v>1267</v>
      </c>
      <c r="B1269" s="7" t="str">
        <f t="shared" si="66"/>
        <v>0403</v>
      </c>
      <c r="C1269" s="7" t="s">
        <v>55</v>
      </c>
      <c r="D1269" s="7" t="s">
        <v>52</v>
      </c>
      <c r="E1269" s="7" t="str">
        <f>"戴晨露"</f>
        <v>戴晨露</v>
      </c>
      <c r="F1269" s="7" t="s">
        <v>53</v>
      </c>
      <c r="G1269" s="7"/>
    </row>
    <row r="1270" ht="18" customHeight="1" spans="1:7">
      <c r="A1270" s="7">
        <v>1268</v>
      </c>
      <c r="B1270" s="7" t="str">
        <f t="shared" si="66"/>
        <v>0403</v>
      </c>
      <c r="C1270" s="7" t="s">
        <v>55</v>
      </c>
      <c r="D1270" s="7" t="s">
        <v>52</v>
      </c>
      <c r="E1270" s="7" t="str">
        <f>"吕文微"</f>
        <v>吕文微</v>
      </c>
      <c r="F1270" s="7" t="s">
        <v>53</v>
      </c>
      <c r="G1270" s="7"/>
    </row>
    <row r="1271" ht="18" customHeight="1" spans="1:7">
      <c r="A1271" s="7">
        <v>1269</v>
      </c>
      <c r="B1271" s="7" t="str">
        <f t="shared" si="66"/>
        <v>0403</v>
      </c>
      <c r="C1271" s="7" t="s">
        <v>55</v>
      </c>
      <c r="D1271" s="7" t="s">
        <v>52</v>
      </c>
      <c r="E1271" s="7" t="str">
        <f>"严瑶瑶"</f>
        <v>严瑶瑶</v>
      </c>
      <c r="F1271" s="7" t="s">
        <v>53</v>
      </c>
      <c r="G1271" s="7"/>
    </row>
    <row r="1272" ht="18" customHeight="1" spans="1:7">
      <c r="A1272" s="7">
        <v>1270</v>
      </c>
      <c r="B1272" s="7" t="str">
        <f t="shared" si="66"/>
        <v>0403</v>
      </c>
      <c r="C1272" s="7" t="s">
        <v>55</v>
      </c>
      <c r="D1272" s="7" t="s">
        <v>52</v>
      </c>
      <c r="E1272" s="7" t="str">
        <f>"李吉雪"</f>
        <v>李吉雪</v>
      </c>
      <c r="F1272" s="7" t="s">
        <v>53</v>
      </c>
      <c r="G1272" s="7"/>
    </row>
    <row r="1273" ht="18" customHeight="1" spans="1:7">
      <c r="A1273" s="7">
        <v>1271</v>
      </c>
      <c r="B1273" s="7" t="str">
        <f t="shared" si="66"/>
        <v>0403</v>
      </c>
      <c r="C1273" s="7" t="s">
        <v>55</v>
      </c>
      <c r="D1273" s="7" t="s">
        <v>52</v>
      </c>
      <c r="E1273" s="7" t="str">
        <f>"张慧丽"</f>
        <v>张慧丽</v>
      </c>
      <c r="F1273" s="7" t="s">
        <v>53</v>
      </c>
      <c r="G1273" s="7"/>
    </row>
    <row r="1274" ht="18" customHeight="1" spans="1:7">
      <c r="A1274" s="7">
        <v>1272</v>
      </c>
      <c r="B1274" s="7" t="str">
        <f t="shared" si="66"/>
        <v>0403</v>
      </c>
      <c r="C1274" s="7" t="s">
        <v>55</v>
      </c>
      <c r="D1274" s="7" t="s">
        <v>52</v>
      </c>
      <c r="E1274" s="7" t="str">
        <f>"孙丽娜"</f>
        <v>孙丽娜</v>
      </c>
      <c r="F1274" s="7" t="s">
        <v>53</v>
      </c>
      <c r="G1274" s="7"/>
    </row>
    <row r="1275" ht="18" customHeight="1" spans="1:7">
      <c r="A1275" s="7">
        <v>1273</v>
      </c>
      <c r="B1275" s="7" t="str">
        <f t="shared" si="66"/>
        <v>0403</v>
      </c>
      <c r="C1275" s="7" t="s">
        <v>55</v>
      </c>
      <c r="D1275" s="7" t="s">
        <v>52</v>
      </c>
      <c r="E1275" s="7" t="str">
        <f>"赵岩"</f>
        <v>赵岩</v>
      </c>
      <c r="F1275" s="7" t="s">
        <v>53</v>
      </c>
      <c r="G1275" s="7"/>
    </row>
    <row r="1276" ht="18" customHeight="1" spans="1:7">
      <c r="A1276" s="7">
        <v>1274</v>
      </c>
      <c r="B1276" s="7" t="str">
        <f t="shared" si="66"/>
        <v>0403</v>
      </c>
      <c r="C1276" s="7" t="s">
        <v>55</v>
      </c>
      <c r="D1276" s="7" t="s">
        <v>52</v>
      </c>
      <c r="E1276" s="7" t="str">
        <f>"张宇航"</f>
        <v>张宇航</v>
      </c>
      <c r="F1276" s="7" t="s">
        <v>53</v>
      </c>
      <c r="G1276" s="7"/>
    </row>
    <row r="1277" ht="18" customHeight="1" spans="1:7">
      <c r="A1277" s="7">
        <v>1275</v>
      </c>
      <c r="B1277" s="7" t="str">
        <f t="shared" si="66"/>
        <v>0403</v>
      </c>
      <c r="C1277" s="7" t="s">
        <v>55</v>
      </c>
      <c r="D1277" s="7" t="s">
        <v>52</v>
      </c>
      <c r="E1277" s="7" t="str">
        <f>"李星霏"</f>
        <v>李星霏</v>
      </c>
      <c r="F1277" s="7" t="s">
        <v>53</v>
      </c>
      <c r="G1277" s="7"/>
    </row>
    <row r="1278" ht="18" customHeight="1" spans="1:7">
      <c r="A1278" s="7">
        <v>1276</v>
      </c>
      <c r="B1278" s="7" t="str">
        <f t="shared" si="66"/>
        <v>0403</v>
      </c>
      <c r="C1278" s="7" t="s">
        <v>55</v>
      </c>
      <c r="D1278" s="7" t="s">
        <v>52</v>
      </c>
      <c r="E1278" s="7" t="str">
        <f>"冯周德"</f>
        <v>冯周德</v>
      </c>
      <c r="F1278" s="7" t="s">
        <v>53</v>
      </c>
      <c r="G1278" s="7"/>
    </row>
    <row r="1279" ht="18" customHeight="1" spans="1:7">
      <c r="A1279" s="7">
        <v>1277</v>
      </c>
      <c r="B1279" s="7" t="str">
        <f t="shared" si="66"/>
        <v>0403</v>
      </c>
      <c r="C1279" s="7" t="s">
        <v>55</v>
      </c>
      <c r="D1279" s="7" t="s">
        <v>52</v>
      </c>
      <c r="E1279" s="7" t="str">
        <f>"林慧"</f>
        <v>林慧</v>
      </c>
      <c r="F1279" s="7" t="s">
        <v>53</v>
      </c>
      <c r="G1279" s="7"/>
    </row>
    <row r="1280" ht="18" customHeight="1" spans="1:7">
      <c r="A1280" s="7">
        <v>1278</v>
      </c>
      <c r="B1280" s="7" t="str">
        <f t="shared" si="66"/>
        <v>0403</v>
      </c>
      <c r="C1280" s="7" t="s">
        <v>55</v>
      </c>
      <c r="D1280" s="7" t="s">
        <v>52</v>
      </c>
      <c r="E1280" s="7" t="str">
        <f>"凌胜昔"</f>
        <v>凌胜昔</v>
      </c>
      <c r="F1280" s="7" t="s">
        <v>53</v>
      </c>
      <c r="G1280" s="7"/>
    </row>
    <row r="1281" ht="18" customHeight="1" spans="1:7">
      <c r="A1281" s="7">
        <v>1279</v>
      </c>
      <c r="B1281" s="7" t="str">
        <f t="shared" si="66"/>
        <v>0403</v>
      </c>
      <c r="C1281" s="7" t="s">
        <v>55</v>
      </c>
      <c r="D1281" s="7" t="s">
        <v>52</v>
      </c>
      <c r="E1281" s="7" t="str">
        <f>"王丽雯"</f>
        <v>王丽雯</v>
      </c>
      <c r="F1281" s="7" t="s">
        <v>53</v>
      </c>
      <c r="G1281" s="7"/>
    </row>
    <row r="1282" ht="18" customHeight="1" spans="1:7">
      <c r="A1282" s="7">
        <v>1280</v>
      </c>
      <c r="B1282" s="7" t="str">
        <f>"0403"</f>
        <v>0403</v>
      </c>
      <c r="C1282" s="7" t="s">
        <v>55</v>
      </c>
      <c r="D1282" s="7" t="s">
        <v>52</v>
      </c>
      <c r="E1282" s="7" t="str">
        <f>"张小鹏"</f>
        <v>张小鹏</v>
      </c>
      <c r="F1282" s="7" t="s">
        <v>53</v>
      </c>
      <c r="G1282" s="7"/>
    </row>
    <row r="1283" ht="18" customHeight="1" spans="1:7">
      <c r="A1283" s="7">
        <v>1281</v>
      </c>
      <c r="B1283" s="7" t="str">
        <f>"0403"</f>
        <v>0403</v>
      </c>
      <c r="C1283" s="7" t="s">
        <v>55</v>
      </c>
      <c r="D1283" s="7" t="s">
        <v>52</v>
      </c>
      <c r="E1283" s="7" t="str">
        <f>"陈木俏"</f>
        <v>陈木俏</v>
      </c>
      <c r="F1283" s="7" t="s">
        <v>53</v>
      </c>
      <c r="G1283" s="7"/>
    </row>
    <row r="1284" ht="18" customHeight="1" spans="1:7">
      <c r="A1284" s="7">
        <v>1282</v>
      </c>
      <c r="B1284" s="7" t="str">
        <f>"0403"</f>
        <v>0403</v>
      </c>
      <c r="C1284" s="7" t="s">
        <v>55</v>
      </c>
      <c r="D1284" s="7" t="s">
        <v>52</v>
      </c>
      <c r="E1284" s="7" t="str">
        <f>"王祎"</f>
        <v>王祎</v>
      </c>
      <c r="F1284" s="7" t="s">
        <v>53</v>
      </c>
      <c r="G1284" s="7"/>
    </row>
    <row r="1285" ht="18" customHeight="1" spans="1:7">
      <c r="A1285" s="7">
        <v>1283</v>
      </c>
      <c r="B1285" s="7" t="str">
        <f>"0403"</f>
        <v>0403</v>
      </c>
      <c r="C1285" s="7" t="s">
        <v>55</v>
      </c>
      <c r="D1285" s="7" t="s">
        <v>52</v>
      </c>
      <c r="E1285" s="7" t="str">
        <f>"王江涛"</f>
        <v>王江涛</v>
      </c>
      <c r="F1285" s="7" t="s">
        <v>53</v>
      </c>
      <c r="G1285" s="7"/>
    </row>
    <row r="1286" ht="18" customHeight="1" spans="1:7">
      <c r="A1286" s="7">
        <v>1284</v>
      </c>
      <c r="B1286" s="7" t="str">
        <f t="shared" ref="B1286:B1320" si="67">"0404"</f>
        <v>0404</v>
      </c>
      <c r="C1286" s="7" t="s">
        <v>56</v>
      </c>
      <c r="D1286" s="7" t="s">
        <v>52</v>
      </c>
      <c r="E1286" s="7" t="str">
        <f>"卓婷婷"</f>
        <v>卓婷婷</v>
      </c>
      <c r="F1286" s="7" t="s">
        <v>53</v>
      </c>
      <c r="G1286" s="7"/>
    </row>
    <row r="1287" ht="18" customHeight="1" spans="1:7">
      <c r="A1287" s="7">
        <v>1285</v>
      </c>
      <c r="B1287" s="7" t="str">
        <f t="shared" si="67"/>
        <v>0404</v>
      </c>
      <c r="C1287" s="7" t="s">
        <v>56</v>
      </c>
      <c r="D1287" s="7" t="s">
        <v>52</v>
      </c>
      <c r="E1287" s="7" t="str">
        <f>"王宇琦"</f>
        <v>王宇琦</v>
      </c>
      <c r="F1287" s="7" t="s">
        <v>53</v>
      </c>
      <c r="G1287" s="7"/>
    </row>
    <row r="1288" ht="18" customHeight="1" spans="1:7">
      <c r="A1288" s="7">
        <v>1286</v>
      </c>
      <c r="B1288" s="7" t="str">
        <f t="shared" si="67"/>
        <v>0404</v>
      </c>
      <c r="C1288" s="7" t="s">
        <v>56</v>
      </c>
      <c r="D1288" s="7" t="s">
        <v>52</v>
      </c>
      <c r="E1288" s="7" t="str">
        <f>"王忠林"</f>
        <v>王忠林</v>
      </c>
      <c r="F1288" s="7" t="s">
        <v>53</v>
      </c>
      <c r="G1288" s="7"/>
    </row>
    <row r="1289" ht="18" customHeight="1" spans="1:7">
      <c r="A1289" s="7">
        <v>1287</v>
      </c>
      <c r="B1289" s="7" t="str">
        <f t="shared" si="67"/>
        <v>0404</v>
      </c>
      <c r="C1289" s="7" t="s">
        <v>56</v>
      </c>
      <c r="D1289" s="7" t="s">
        <v>52</v>
      </c>
      <c r="E1289" s="7" t="str">
        <f>"赵灵芝"</f>
        <v>赵灵芝</v>
      </c>
      <c r="F1289" s="7" t="s">
        <v>53</v>
      </c>
      <c r="G1289" s="7"/>
    </row>
    <row r="1290" ht="18" customHeight="1" spans="1:7">
      <c r="A1290" s="7">
        <v>1288</v>
      </c>
      <c r="B1290" s="7" t="str">
        <f t="shared" si="67"/>
        <v>0404</v>
      </c>
      <c r="C1290" s="7" t="s">
        <v>56</v>
      </c>
      <c r="D1290" s="7" t="s">
        <v>52</v>
      </c>
      <c r="E1290" s="7" t="str">
        <f>"祁君凤"</f>
        <v>祁君凤</v>
      </c>
      <c r="F1290" s="7" t="s">
        <v>53</v>
      </c>
      <c r="G1290" s="7"/>
    </row>
    <row r="1291" ht="18" customHeight="1" spans="1:7">
      <c r="A1291" s="7">
        <v>1289</v>
      </c>
      <c r="B1291" s="7" t="str">
        <f t="shared" si="67"/>
        <v>0404</v>
      </c>
      <c r="C1291" s="7" t="s">
        <v>56</v>
      </c>
      <c r="D1291" s="7" t="s">
        <v>52</v>
      </c>
      <c r="E1291" s="7" t="str">
        <f>"张鸿"</f>
        <v>张鸿</v>
      </c>
      <c r="F1291" s="7" t="s">
        <v>53</v>
      </c>
      <c r="G1291" s="7"/>
    </row>
    <row r="1292" ht="18" customHeight="1" spans="1:7">
      <c r="A1292" s="7">
        <v>1290</v>
      </c>
      <c r="B1292" s="7" t="str">
        <f t="shared" si="67"/>
        <v>0404</v>
      </c>
      <c r="C1292" s="7" t="s">
        <v>56</v>
      </c>
      <c r="D1292" s="7" t="s">
        <v>52</v>
      </c>
      <c r="E1292" s="7" t="str">
        <f>"孙晓婷"</f>
        <v>孙晓婷</v>
      </c>
      <c r="F1292" s="7" t="s">
        <v>53</v>
      </c>
      <c r="G1292" s="7"/>
    </row>
    <row r="1293" ht="18" customHeight="1" spans="1:7">
      <c r="A1293" s="7">
        <v>1291</v>
      </c>
      <c r="B1293" s="7" t="str">
        <f t="shared" si="67"/>
        <v>0404</v>
      </c>
      <c r="C1293" s="7" t="s">
        <v>56</v>
      </c>
      <c r="D1293" s="7" t="s">
        <v>52</v>
      </c>
      <c r="E1293" s="7" t="str">
        <f>"雷春燕"</f>
        <v>雷春燕</v>
      </c>
      <c r="F1293" s="7" t="s">
        <v>53</v>
      </c>
      <c r="G1293" s="7"/>
    </row>
    <row r="1294" ht="18" customHeight="1" spans="1:7">
      <c r="A1294" s="7">
        <v>1292</v>
      </c>
      <c r="B1294" s="7" t="str">
        <f t="shared" si="67"/>
        <v>0404</v>
      </c>
      <c r="C1294" s="7" t="s">
        <v>56</v>
      </c>
      <c r="D1294" s="7" t="s">
        <v>52</v>
      </c>
      <c r="E1294" s="7" t="str">
        <f>"张璠"</f>
        <v>张璠</v>
      </c>
      <c r="F1294" s="7" t="s">
        <v>53</v>
      </c>
      <c r="G1294" s="7"/>
    </row>
    <row r="1295" ht="18" customHeight="1" spans="1:7">
      <c r="A1295" s="7">
        <v>1293</v>
      </c>
      <c r="B1295" s="7" t="str">
        <f t="shared" si="67"/>
        <v>0404</v>
      </c>
      <c r="C1295" s="7" t="s">
        <v>56</v>
      </c>
      <c r="D1295" s="7" t="s">
        <v>52</v>
      </c>
      <c r="E1295" s="7" t="str">
        <f>"孙明健"</f>
        <v>孙明健</v>
      </c>
      <c r="F1295" s="7" t="s">
        <v>53</v>
      </c>
      <c r="G1295" s="7"/>
    </row>
    <row r="1296" ht="18" customHeight="1" spans="1:7">
      <c r="A1296" s="7">
        <v>1294</v>
      </c>
      <c r="B1296" s="7" t="str">
        <f t="shared" si="67"/>
        <v>0404</v>
      </c>
      <c r="C1296" s="7" t="s">
        <v>56</v>
      </c>
      <c r="D1296" s="7" t="s">
        <v>52</v>
      </c>
      <c r="E1296" s="7" t="str">
        <f>"李然"</f>
        <v>李然</v>
      </c>
      <c r="F1296" s="7" t="s">
        <v>53</v>
      </c>
      <c r="G1296" s="7"/>
    </row>
    <row r="1297" ht="18" customHeight="1" spans="1:7">
      <c r="A1297" s="7">
        <v>1295</v>
      </c>
      <c r="B1297" s="7" t="str">
        <f t="shared" si="67"/>
        <v>0404</v>
      </c>
      <c r="C1297" s="7" t="s">
        <v>56</v>
      </c>
      <c r="D1297" s="7" t="s">
        <v>52</v>
      </c>
      <c r="E1297" s="7" t="str">
        <f>"赵崇宇"</f>
        <v>赵崇宇</v>
      </c>
      <c r="F1297" s="7" t="s">
        <v>53</v>
      </c>
      <c r="G1297" s="7"/>
    </row>
    <row r="1298" ht="18" customHeight="1" spans="1:7">
      <c r="A1298" s="7">
        <v>1296</v>
      </c>
      <c r="B1298" s="7" t="str">
        <f t="shared" si="67"/>
        <v>0404</v>
      </c>
      <c r="C1298" s="7" t="s">
        <v>56</v>
      </c>
      <c r="D1298" s="7" t="s">
        <v>52</v>
      </c>
      <c r="E1298" s="7" t="str">
        <f>"陈欢"</f>
        <v>陈欢</v>
      </c>
      <c r="F1298" s="7" t="s">
        <v>53</v>
      </c>
      <c r="G1298" s="7"/>
    </row>
    <row r="1299" ht="18" customHeight="1" spans="1:7">
      <c r="A1299" s="7">
        <v>1297</v>
      </c>
      <c r="B1299" s="7" t="str">
        <f t="shared" si="67"/>
        <v>0404</v>
      </c>
      <c r="C1299" s="7" t="s">
        <v>56</v>
      </c>
      <c r="D1299" s="7" t="s">
        <v>52</v>
      </c>
      <c r="E1299" s="7" t="str">
        <f>"石磊"</f>
        <v>石磊</v>
      </c>
      <c r="F1299" s="7" t="s">
        <v>53</v>
      </c>
      <c r="G1299" s="7"/>
    </row>
    <row r="1300" ht="18" customHeight="1" spans="1:7">
      <c r="A1300" s="7">
        <v>1298</v>
      </c>
      <c r="B1300" s="7" t="str">
        <f t="shared" si="67"/>
        <v>0404</v>
      </c>
      <c r="C1300" s="7" t="s">
        <v>56</v>
      </c>
      <c r="D1300" s="7" t="s">
        <v>52</v>
      </c>
      <c r="E1300" s="7" t="str">
        <f>"高晓媛"</f>
        <v>高晓媛</v>
      </c>
      <c r="F1300" s="7" t="s">
        <v>53</v>
      </c>
      <c r="G1300" s="7"/>
    </row>
    <row r="1301" ht="18" customHeight="1" spans="1:7">
      <c r="A1301" s="7">
        <v>1299</v>
      </c>
      <c r="B1301" s="7" t="str">
        <f t="shared" si="67"/>
        <v>0404</v>
      </c>
      <c r="C1301" s="7" t="s">
        <v>56</v>
      </c>
      <c r="D1301" s="7" t="s">
        <v>52</v>
      </c>
      <c r="E1301" s="7" t="str">
        <f>"于巍涛"</f>
        <v>于巍涛</v>
      </c>
      <c r="F1301" s="7" t="s">
        <v>53</v>
      </c>
      <c r="G1301" s="7"/>
    </row>
    <row r="1302" ht="18" customHeight="1" spans="1:7">
      <c r="A1302" s="7">
        <v>1300</v>
      </c>
      <c r="B1302" s="7" t="str">
        <f t="shared" si="67"/>
        <v>0404</v>
      </c>
      <c r="C1302" s="7" t="s">
        <v>56</v>
      </c>
      <c r="D1302" s="7" t="s">
        <v>52</v>
      </c>
      <c r="E1302" s="7" t="str">
        <f>"夏阳"</f>
        <v>夏阳</v>
      </c>
      <c r="F1302" s="7" t="s">
        <v>53</v>
      </c>
      <c r="G1302" s="7"/>
    </row>
    <row r="1303" ht="18" customHeight="1" spans="1:7">
      <c r="A1303" s="7">
        <v>1301</v>
      </c>
      <c r="B1303" s="7" t="str">
        <f t="shared" si="67"/>
        <v>0404</v>
      </c>
      <c r="C1303" s="7" t="s">
        <v>56</v>
      </c>
      <c r="D1303" s="7" t="s">
        <v>52</v>
      </c>
      <c r="E1303" s="7" t="str">
        <f>"郭柏宏"</f>
        <v>郭柏宏</v>
      </c>
      <c r="F1303" s="7" t="s">
        <v>53</v>
      </c>
      <c r="G1303" s="7"/>
    </row>
    <row r="1304" ht="18" customHeight="1" spans="1:7">
      <c r="A1304" s="7">
        <v>1302</v>
      </c>
      <c r="B1304" s="7" t="str">
        <f t="shared" si="67"/>
        <v>0404</v>
      </c>
      <c r="C1304" s="7" t="s">
        <v>56</v>
      </c>
      <c r="D1304" s="7" t="s">
        <v>52</v>
      </c>
      <c r="E1304" s="7" t="str">
        <f>"荆文"</f>
        <v>荆文</v>
      </c>
      <c r="F1304" s="7" t="s">
        <v>53</v>
      </c>
      <c r="G1304" s="7"/>
    </row>
    <row r="1305" ht="18" customHeight="1" spans="1:7">
      <c r="A1305" s="7">
        <v>1303</v>
      </c>
      <c r="B1305" s="7" t="str">
        <f t="shared" si="67"/>
        <v>0404</v>
      </c>
      <c r="C1305" s="7" t="s">
        <v>56</v>
      </c>
      <c r="D1305" s="7" t="s">
        <v>52</v>
      </c>
      <c r="E1305" s="7" t="str">
        <f>"童星"</f>
        <v>童星</v>
      </c>
      <c r="F1305" s="7" t="s">
        <v>53</v>
      </c>
      <c r="G1305" s="7"/>
    </row>
    <row r="1306" ht="18" customHeight="1" spans="1:7">
      <c r="A1306" s="7">
        <v>1304</v>
      </c>
      <c r="B1306" s="7" t="str">
        <f t="shared" si="67"/>
        <v>0404</v>
      </c>
      <c r="C1306" s="7" t="s">
        <v>56</v>
      </c>
      <c r="D1306" s="7" t="s">
        <v>52</v>
      </c>
      <c r="E1306" s="7" t="str">
        <f>"杜华健"</f>
        <v>杜华健</v>
      </c>
      <c r="F1306" s="7" t="s">
        <v>53</v>
      </c>
      <c r="G1306" s="7"/>
    </row>
    <row r="1307" ht="18" customHeight="1" spans="1:7">
      <c r="A1307" s="7">
        <v>1305</v>
      </c>
      <c r="B1307" s="7" t="str">
        <f t="shared" si="67"/>
        <v>0404</v>
      </c>
      <c r="C1307" s="7" t="s">
        <v>56</v>
      </c>
      <c r="D1307" s="7" t="s">
        <v>52</v>
      </c>
      <c r="E1307" s="7" t="str">
        <f>"文运"</f>
        <v>文运</v>
      </c>
      <c r="F1307" s="7" t="s">
        <v>53</v>
      </c>
      <c r="G1307" s="7"/>
    </row>
    <row r="1308" ht="18" customHeight="1" spans="1:7">
      <c r="A1308" s="7">
        <v>1306</v>
      </c>
      <c r="B1308" s="7" t="str">
        <f t="shared" si="67"/>
        <v>0404</v>
      </c>
      <c r="C1308" s="7" t="s">
        <v>56</v>
      </c>
      <c r="D1308" s="7" t="s">
        <v>52</v>
      </c>
      <c r="E1308" s="7" t="str">
        <f>"覃克文"</f>
        <v>覃克文</v>
      </c>
      <c r="F1308" s="7" t="s">
        <v>53</v>
      </c>
      <c r="G1308" s="7"/>
    </row>
    <row r="1309" ht="18" customHeight="1" spans="1:7">
      <c r="A1309" s="7">
        <v>1307</v>
      </c>
      <c r="B1309" s="7" t="str">
        <f t="shared" si="67"/>
        <v>0404</v>
      </c>
      <c r="C1309" s="7" t="s">
        <v>56</v>
      </c>
      <c r="D1309" s="7" t="s">
        <v>52</v>
      </c>
      <c r="E1309" s="7" t="str">
        <f>"王艳芳"</f>
        <v>王艳芳</v>
      </c>
      <c r="F1309" s="7" t="s">
        <v>53</v>
      </c>
      <c r="G1309" s="7"/>
    </row>
    <row r="1310" ht="18" customHeight="1" spans="1:7">
      <c r="A1310" s="7">
        <v>1308</v>
      </c>
      <c r="B1310" s="7" t="str">
        <f t="shared" si="67"/>
        <v>0404</v>
      </c>
      <c r="C1310" s="7" t="s">
        <v>56</v>
      </c>
      <c r="D1310" s="7" t="s">
        <v>52</v>
      </c>
      <c r="E1310" s="7" t="str">
        <f>"付英娟"</f>
        <v>付英娟</v>
      </c>
      <c r="F1310" s="7" t="s">
        <v>53</v>
      </c>
      <c r="G1310" s="7"/>
    </row>
    <row r="1311" ht="18" customHeight="1" spans="1:7">
      <c r="A1311" s="7">
        <v>1309</v>
      </c>
      <c r="B1311" s="7" t="str">
        <f t="shared" si="67"/>
        <v>0404</v>
      </c>
      <c r="C1311" s="7" t="s">
        <v>56</v>
      </c>
      <c r="D1311" s="7" t="s">
        <v>52</v>
      </c>
      <c r="E1311" s="7" t="str">
        <f>"郑宇佳"</f>
        <v>郑宇佳</v>
      </c>
      <c r="F1311" s="7" t="s">
        <v>53</v>
      </c>
      <c r="G1311" s="7"/>
    </row>
    <row r="1312" ht="18" customHeight="1" spans="1:7">
      <c r="A1312" s="7">
        <v>1310</v>
      </c>
      <c r="B1312" s="7" t="str">
        <f t="shared" si="67"/>
        <v>0404</v>
      </c>
      <c r="C1312" s="7" t="s">
        <v>56</v>
      </c>
      <c r="D1312" s="7" t="s">
        <v>52</v>
      </c>
      <c r="E1312" s="7" t="str">
        <f>"王晨红"</f>
        <v>王晨红</v>
      </c>
      <c r="F1312" s="7" t="s">
        <v>53</v>
      </c>
      <c r="G1312" s="7"/>
    </row>
    <row r="1313" ht="18" customHeight="1" spans="1:7">
      <c r="A1313" s="7">
        <v>1311</v>
      </c>
      <c r="B1313" s="7" t="str">
        <f t="shared" si="67"/>
        <v>0404</v>
      </c>
      <c r="C1313" s="7" t="s">
        <v>56</v>
      </c>
      <c r="D1313" s="7" t="s">
        <v>52</v>
      </c>
      <c r="E1313" s="7" t="str">
        <f>"涂妹"</f>
        <v>涂妹</v>
      </c>
      <c r="F1313" s="7" t="s">
        <v>53</v>
      </c>
      <c r="G1313" s="7"/>
    </row>
    <row r="1314" ht="18" customHeight="1" spans="1:7">
      <c r="A1314" s="7">
        <v>1312</v>
      </c>
      <c r="B1314" s="7" t="str">
        <f t="shared" si="67"/>
        <v>0404</v>
      </c>
      <c r="C1314" s="7" t="s">
        <v>56</v>
      </c>
      <c r="D1314" s="7" t="s">
        <v>52</v>
      </c>
      <c r="E1314" s="7" t="str">
        <f>"沈梦霞"</f>
        <v>沈梦霞</v>
      </c>
      <c r="F1314" s="7" t="s">
        <v>53</v>
      </c>
      <c r="G1314" s="7"/>
    </row>
    <row r="1315" ht="18" customHeight="1" spans="1:7">
      <c r="A1315" s="7">
        <v>1313</v>
      </c>
      <c r="B1315" s="7" t="str">
        <f t="shared" si="67"/>
        <v>0404</v>
      </c>
      <c r="C1315" s="7" t="s">
        <v>56</v>
      </c>
      <c r="D1315" s="7" t="s">
        <v>52</v>
      </c>
      <c r="E1315" s="7" t="str">
        <f>"林小漫"</f>
        <v>林小漫</v>
      </c>
      <c r="F1315" s="7" t="s">
        <v>53</v>
      </c>
      <c r="G1315" s="7"/>
    </row>
    <row r="1316" ht="18" customHeight="1" spans="1:7">
      <c r="A1316" s="7">
        <v>1314</v>
      </c>
      <c r="B1316" s="7" t="str">
        <f t="shared" si="67"/>
        <v>0404</v>
      </c>
      <c r="C1316" s="7" t="s">
        <v>56</v>
      </c>
      <c r="D1316" s="7" t="s">
        <v>52</v>
      </c>
      <c r="E1316" s="7" t="str">
        <f>"马俊洁"</f>
        <v>马俊洁</v>
      </c>
      <c r="F1316" s="7" t="s">
        <v>53</v>
      </c>
      <c r="G1316" s="7"/>
    </row>
    <row r="1317" ht="18" customHeight="1" spans="1:7">
      <c r="A1317" s="7">
        <v>1315</v>
      </c>
      <c r="B1317" s="7" t="str">
        <f t="shared" si="67"/>
        <v>0404</v>
      </c>
      <c r="C1317" s="7" t="s">
        <v>56</v>
      </c>
      <c r="D1317" s="7" t="s">
        <v>52</v>
      </c>
      <c r="E1317" s="7" t="str">
        <f>"林家平"</f>
        <v>林家平</v>
      </c>
      <c r="F1317" s="7" t="s">
        <v>53</v>
      </c>
      <c r="G1317" s="7"/>
    </row>
    <row r="1318" ht="18" customHeight="1" spans="1:7">
      <c r="A1318" s="7">
        <v>1316</v>
      </c>
      <c r="B1318" s="7" t="str">
        <f t="shared" si="67"/>
        <v>0404</v>
      </c>
      <c r="C1318" s="7" t="s">
        <v>56</v>
      </c>
      <c r="D1318" s="7" t="s">
        <v>52</v>
      </c>
      <c r="E1318" s="7" t="str">
        <f>"叶明珠"</f>
        <v>叶明珠</v>
      </c>
      <c r="F1318" s="7" t="s">
        <v>53</v>
      </c>
      <c r="G1318" s="7"/>
    </row>
    <row r="1319" ht="18" customHeight="1" spans="1:7">
      <c r="A1319" s="7">
        <v>1317</v>
      </c>
      <c r="B1319" s="7" t="str">
        <f t="shared" si="67"/>
        <v>0404</v>
      </c>
      <c r="C1319" s="7" t="s">
        <v>56</v>
      </c>
      <c r="D1319" s="7" t="s">
        <v>52</v>
      </c>
      <c r="E1319" s="7" t="str">
        <f>"李英"</f>
        <v>李英</v>
      </c>
      <c r="F1319" s="7" t="s">
        <v>53</v>
      </c>
      <c r="G1319" s="7"/>
    </row>
    <row r="1320" ht="18" customHeight="1" spans="1:7">
      <c r="A1320" s="7">
        <v>1318</v>
      </c>
      <c r="B1320" s="7" t="str">
        <f t="shared" si="67"/>
        <v>0404</v>
      </c>
      <c r="C1320" s="7" t="s">
        <v>56</v>
      </c>
      <c r="D1320" s="7" t="s">
        <v>52</v>
      </c>
      <c r="E1320" s="7" t="str">
        <f>"高娟"</f>
        <v>高娟</v>
      </c>
      <c r="F1320" s="7" t="s">
        <v>53</v>
      </c>
      <c r="G1320" s="7"/>
    </row>
    <row r="1321" ht="18" customHeight="1" spans="1:7">
      <c r="A1321" s="7">
        <v>1319</v>
      </c>
      <c r="B1321" s="7" t="str">
        <f t="shared" ref="B1321:B1350" si="68">"0405"</f>
        <v>0405</v>
      </c>
      <c r="C1321" s="7" t="s">
        <v>57</v>
      </c>
      <c r="D1321" s="7" t="s">
        <v>52</v>
      </c>
      <c r="E1321" s="7" t="str">
        <f>"李新"</f>
        <v>李新</v>
      </c>
      <c r="F1321" s="7" t="s">
        <v>53</v>
      </c>
      <c r="G1321" s="7"/>
    </row>
    <row r="1322" ht="18" customHeight="1" spans="1:7">
      <c r="A1322" s="7">
        <v>1320</v>
      </c>
      <c r="B1322" s="7" t="str">
        <f t="shared" si="68"/>
        <v>0405</v>
      </c>
      <c r="C1322" s="7" t="s">
        <v>57</v>
      </c>
      <c r="D1322" s="7" t="s">
        <v>52</v>
      </c>
      <c r="E1322" s="7" t="str">
        <f>"王安妮"</f>
        <v>王安妮</v>
      </c>
      <c r="F1322" s="7" t="s">
        <v>53</v>
      </c>
      <c r="G1322" s="7"/>
    </row>
    <row r="1323" ht="18" customHeight="1" spans="1:7">
      <c r="A1323" s="7">
        <v>1321</v>
      </c>
      <c r="B1323" s="7" t="str">
        <f t="shared" si="68"/>
        <v>0405</v>
      </c>
      <c r="C1323" s="7" t="s">
        <v>57</v>
      </c>
      <c r="D1323" s="7" t="s">
        <v>52</v>
      </c>
      <c r="E1323" s="7" t="str">
        <f>"李昂"</f>
        <v>李昂</v>
      </c>
      <c r="F1323" s="7" t="s">
        <v>53</v>
      </c>
      <c r="G1323" s="7"/>
    </row>
    <row r="1324" ht="18" customHeight="1" spans="1:7">
      <c r="A1324" s="7">
        <v>1322</v>
      </c>
      <c r="B1324" s="7" t="str">
        <f t="shared" si="68"/>
        <v>0405</v>
      </c>
      <c r="C1324" s="7" t="s">
        <v>57</v>
      </c>
      <c r="D1324" s="7" t="s">
        <v>52</v>
      </c>
      <c r="E1324" s="7" t="str">
        <f>"曾睆"</f>
        <v>曾睆</v>
      </c>
      <c r="F1324" s="7" t="s">
        <v>53</v>
      </c>
      <c r="G1324" s="7"/>
    </row>
    <row r="1325" ht="18" customHeight="1" spans="1:7">
      <c r="A1325" s="7">
        <v>1323</v>
      </c>
      <c r="B1325" s="7" t="str">
        <f t="shared" si="68"/>
        <v>0405</v>
      </c>
      <c r="C1325" s="7" t="s">
        <v>57</v>
      </c>
      <c r="D1325" s="7" t="s">
        <v>52</v>
      </c>
      <c r="E1325" s="7" t="str">
        <f>"徐辉"</f>
        <v>徐辉</v>
      </c>
      <c r="F1325" s="7" t="s">
        <v>53</v>
      </c>
      <c r="G1325" s="7"/>
    </row>
    <row r="1326" ht="18" customHeight="1" spans="1:7">
      <c r="A1326" s="7">
        <v>1324</v>
      </c>
      <c r="B1326" s="7" t="str">
        <f t="shared" si="68"/>
        <v>0405</v>
      </c>
      <c r="C1326" s="7" t="s">
        <v>57</v>
      </c>
      <c r="D1326" s="7" t="s">
        <v>52</v>
      </c>
      <c r="E1326" s="7" t="str">
        <f>"李赜柔"</f>
        <v>李赜柔</v>
      </c>
      <c r="F1326" s="7" t="s">
        <v>53</v>
      </c>
      <c r="G1326" s="7"/>
    </row>
    <row r="1327" ht="18" customHeight="1" spans="1:7">
      <c r="A1327" s="7">
        <v>1325</v>
      </c>
      <c r="B1327" s="7" t="str">
        <f t="shared" si="68"/>
        <v>0405</v>
      </c>
      <c r="C1327" s="7" t="s">
        <v>57</v>
      </c>
      <c r="D1327" s="7" t="s">
        <v>52</v>
      </c>
      <c r="E1327" s="7" t="str">
        <f>"李润轩"</f>
        <v>李润轩</v>
      </c>
      <c r="F1327" s="7" t="s">
        <v>53</v>
      </c>
      <c r="G1327" s="7"/>
    </row>
    <row r="1328" ht="18" customHeight="1" spans="1:7">
      <c r="A1328" s="7">
        <v>1326</v>
      </c>
      <c r="B1328" s="7" t="str">
        <f t="shared" si="68"/>
        <v>0405</v>
      </c>
      <c r="C1328" s="7" t="s">
        <v>57</v>
      </c>
      <c r="D1328" s="7" t="s">
        <v>52</v>
      </c>
      <c r="E1328" s="7" t="str">
        <f>"杨冰"</f>
        <v>杨冰</v>
      </c>
      <c r="F1328" s="7" t="s">
        <v>53</v>
      </c>
      <c r="G1328" s="7"/>
    </row>
    <row r="1329" ht="18" customHeight="1" spans="1:7">
      <c r="A1329" s="7">
        <v>1327</v>
      </c>
      <c r="B1329" s="7" t="str">
        <f t="shared" si="68"/>
        <v>0405</v>
      </c>
      <c r="C1329" s="7" t="s">
        <v>57</v>
      </c>
      <c r="D1329" s="7" t="s">
        <v>52</v>
      </c>
      <c r="E1329" s="7" t="str">
        <f>"安娜"</f>
        <v>安娜</v>
      </c>
      <c r="F1329" s="7" t="s">
        <v>53</v>
      </c>
      <c r="G1329" s="7"/>
    </row>
    <row r="1330" ht="18" customHeight="1" spans="1:7">
      <c r="A1330" s="7">
        <v>1328</v>
      </c>
      <c r="B1330" s="7" t="str">
        <f t="shared" si="68"/>
        <v>0405</v>
      </c>
      <c r="C1330" s="7" t="s">
        <v>57</v>
      </c>
      <c r="D1330" s="7" t="s">
        <v>52</v>
      </c>
      <c r="E1330" s="7" t="str">
        <f>"王臆琳"</f>
        <v>王臆琳</v>
      </c>
      <c r="F1330" s="7" t="s">
        <v>53</v>
      </c>
      <c r="G1330" s="7"/>
    </row>
    <row r="1331" ht="18" customHeight="1" spans="1:7">
      <c r="A1331" s="7">
        <v>1329</v>
      </c>
      <c r="B1331" s="7" t="str">
        <f t="shared" si="68"/>
        <v>0405</v>
      </c>
      <c r="C1331" s="7" t="s">
        <v>57</v>
      </c>
      <c r="D1331" s="7" t="s">
        <v>52</v>
      </c>
      <c r="E1331" s="7" t="str">
        <f>"金凝乐"</f>
        <v>金凝乐</v>
      </c>
      <c r="F1331" s="7" t="s">
        <v>53</v>
      </c>
      <c r="G1331" s="7"/>
    </row>
    <row r="1332" ht="18" customHeight="1" spans="1:7">
      <c r="A1332" s="7">
        <v>1330</v>
      </c>
      <c r="B1332" s="7" t="str">
        <f t="shared" si="68"/>
        <v>0405</v>
      </c>
      <c r="C1332" s="7" t="s">
        <v>57</v>
      </c>
      <c r="D1332" s="7" t="s">
        <v>52</v>
      </c>
      <c r="E1332" s="7" t="str">
        <f>"田添"</f>
        <v>田添</v>
      </c>
      <c r="F1332" s="7" t="s">
        <v>53</v>
      </c>
      <c r="G1332" s="7"/>
    </row>
    <row r="1333" ht="18" customHeight="1" spans="1:7">
      <c r="A1333" s="7">
        <v>1331</v>
      </c>
      <c r="B1333" s="7" t="str">
        <f t="shared" si="68"/>
        <v>0405</v>
      </c>
      <c r="C1333" s="7" t="s">
        <v>57</v>
      </c>
      <c r="D1333" s="7" t="s">
        <v>52</v>
      </c>
      <c r="E1333" s="7" t="str">
        <f>"刘燕"</f>
        <v>刘燕</v>
      </c>
      <c r="F1333" s="7" t="s">
        <v>53</v>
      </c>
      <c r="G1333" s="7"/>
    </row>
    <row r="1334" ht="18" customHeight="1" spans="1:7">
      <c r="A1334" s="7">
        <v>1332</v>
      </c>
      <c r="B1334" s="7" t="str">
        <f t="shared" si="68"/>
        <v>0405</v>
      </c>
      <c r="C1334" s="7" t="s">
        <v>57</v>
      </c>
      <c r="D1334" s="7" t="s">
        <v>52</v>
      </c>
      <c r="E1334" s="7" t="str">
        <f>"高露凡"</f>
        <v>高露凡</v>
      </c>
      <c r="F1334" s="7" t="s">
        <v>53</v>
      </c>
      <c r="G1334" s="7"/>
    </row>
    <row r="1335" ht="18" customHeight="1" spans="1:7">
      <c r="A1335" s="7">
        <v>1333</v>
      </c>
      <c r="B1335" s="7" t="str">
        <f t="shared" si="68"/>
        <v>0405</v>
      </c>
      <c r="C1335" s="7" t="s">
        <v>57</v>
      </c>
      <c r="D1335" s="7" t="s">
        <v>52</v>
      </c>
      <c r="E1335" s="7" t="str">
        <f>"曾洲才"</f>
        <v>曾洲才</v>
      </c>
      <c r="F1335" s="7" t="s">
        <v>53</v>
      </c>
      <c r="G1335" s="7"/>
    </row>
    <row r="1336" ht="18" customHeight="1" spans="1:7">
      <c r="A1336" s="7">
        <v>1334</v>
      </c>
      <c r="B1336" s="7" t="str">
        <f t="shared" si="68"/>
        <v>0405</v>
      </c>
      <c r="C1336" s="7" t="s">
        <v>57</v>
      </c>
      <c r="D1336" s="7" t="s">
        <v>52</v>
      </c>
      <c r="E1336" s="7" t="str">
        <f>"刘玥璋"</f>
        <v>刘玥璋</v>
      </c>
      <c r="F1336" s="7" t="s">
        <v>53</v>
      </c>
      <c r="G1336" s="7"/>
    </row>
    <row r="1337" ht="18" customHeight="1" spans="1:7">
      <c r="A1337" s="7">
        <v>1335</v>
      </c>
      <c r="B1337" s="7" t="str">
        <f t="shared" si="68"/>
        <v>0405</v>
      </c>
      <c r="C1337" s="7" t="s">
        <v>57</v>
      </c>
      <c r="D1337" s="7" t="s">
        <v>52</v>
      </c>
      <c r="E1337" s="7" t="str">
        <f>"施鉴钊"</f>
        <v>施鉴钊</v>
      </c>
      <c r="F1337" s="7" t="s">
        <v>53</v>
      </c>
      <c r="G1337" s="7"/>
    </row>
    <row r="1338" ht="18" customHeight="1" spans="1:7">
      <c r="A1338" s="7">
        <v>1336</v>
      </c>
      <c r="B1338" s="7" t="str">
        <f t="shared" si="68"/>
        <v>0405</v>
      </c>
      <c r="C1338" s="7" t="s">
        <v>57</v>
      </c>
      <c r="D1338" s="7" t="s">
        <v>52</v>
      </c>
      <c r="E1338" s="7" t="str">
        <f>"武静"</f>
        <v>武静</v>
      </c>
      <c r="F1338" s="7" t="s">
        <v>53</v>
      </c>
      <c r="G1338" s="7"/>
    </row>
    <row r="1339" ht="18" customHeight="1" spans="1:7">
      <c r="A1339" s="7">
        <v>1337</v>
      </c>
      <c r="B1339" s="7" t="str">
        <f t="shared" si="68"/>
        <v>0405</v>
      </c>
      <c r="C1339" s="7" t="s">
        <v>57</v>
      </c>
      <c r="D1339" s="7" t="s">
        <v>52</v>
      </c>
      <c r="E1339" s="7" t="str">
        <f>"雷喻"</f>
        <v>雷喻</v>
      </c>
      <c r="F1339" s="7" t="s">
        <v>53</v>
      </c>
      <c r="G1339" s="7"/>
    </row>
    <row r="1340" ht="18" customHeight="1" spans="1:7">
      <c r="A1340" s="7">
        <v>1338</v>
      </c>
      <c r="B1340" s="7" t="str">
        <f t="shared" si="68"/>
        <v>0405</v>
      </c>
      <c r="C1340" s="7" t="s">
        <v>57</v>
      </c>
      <c r="D1340" s="7" t="s">
        <v>52</v>
      </c>
      <c r="E1340" s="7" t="str">
        <f>"陈建任"</f>
        <v>陈建任</v>
      </c>
      <c r="F1340" s="7" t="s">
        <v>53</v>
      </c>
      <c r="G1340" s="7"/>
    </row>
    <row r="1341" ht="18" customHeight="1" spans="1:7">
      <c r="A1341" s="7">
        <v>1339</v>
      </c>
      <c r="B1341" s="7" t="str">
        <f t="shared" si="68"/>
        <v>0405</v>
      </c>
      <c r="C1341" s="7" t="s">
        <v>57</v>
      </c>
      <c r="D1341" s="7" t="s">
        <v>52</v>
      </c>
      <c r="E1341" s="7" t="str">
        <f>"甘一涵"</f>
        <v>甘一涵</v>
      </c>
      <c r="F1341" s="7" t="s">
        <v>53</v>
      </c>
      <c r="G1341" s="7"/>
    </row>
    <row r="1342" ht="18" customHeight="1" spans="1:7">
      <c r="A1342" s="7">
        <v>1340</v>
      </c>
      <c r="B1342" s="7" t="str">
        <f t="shared" si="68"/>
        <v>0405</v>
      </c>
      <c r="C1342" s="7" t="s">
        <v>57</v>
      </c>
      <c r="D1342" s="7" t="s">
        <v>52</v>
      </c>
      <c r="E1342" s="7" t="str">
        <f>"褚童"</f>
        <v>褚童</v>
      </c>
      <c r="F1342" s="7" t="s">
        <v>53</v>
      </c>
      <c r="G1342" s="7"/>
    </row>
    <row r="1343" ht="18" customHeight="1" spans="1:7">
      <c r="A1343" s="7">
        <v>1341</v>
      </c>
      <c r="B1343" s="7" t="str">
        <f t="shared" si="68"/>
        <v>0405</v>
      </c>
      <c r="C1343" s="7" t="s">
        <v>57</v>
      </c>
      <c r="D1343" s="7" t="s">
        <v>52</v>
      </c>
      <c r="E1343" s="7" t="str">
        <f>" 纪妍"</f>
        <v> 纪妍</v>
      </c>
      <c r="F1343" s="7" t="s">
        <v>53</v>
      </c>
      <c r="G1343" s="7"/>
    </row>
    <row r="1344" ht="18" customHeight="1" spans="1:7">
      <c r="A1344" s="7">
        <v>1342</v>
      </c>
      <c r="B1344" s="7" t="str">
        <f t="shared" si="68"/>
        <v>0405</v>
      </c>
      <c r="C1344" s="7" t="s">
        <v>57</v>
      </c>
      <c r="D1344" s="7" t="s">
        <v>52</v>
      </c>
      <c r="E1344" s="7" t="str">
        <f>"覃海珠"</f>
        <v>覃海珠</v>
      </c>
      <c r="F1344" s="7" t="s">
        <v>53</v>
      </c>
      <c r="G1344" s="7"/>
    </row>
    <row r="1345" ht="18" customHeight="1" spans="1:7">
      <c r="A1345" s="7">
        <v>1343</v>
      </c>
      <c r="B1345" s="7" t="str">
        <f t="shared" si="68"/>
        <v>0405</v>
      </c>
      <c r="C1345" s="7" t="s">
        <v>57</v>
      </c>
      <c r="D1345" s="7" t="s">
        <v>52</v>
      </c>
      <c r="E1345" s="7" t="str">
        <f>"袁少皓"</f>
        <v>袁少皓</v>
      </c>
      <c r="F1345" s="7" t="s">
        <v>53</v>
      </c>
      <c r="G1345" s="7"/>
    </row>
    <row r="1346" ht="18" customHeight="1" spans="1:7">
      <c r="A1346" s="7">
        <v>1344</v>
      </c>
      <c r="B1346" s="7" t="str">
        <f t="shared" si="68"/>
        <v>0405</v>
      </c>
      <c r="C1346" s="7" t="s">
        <v>57</v>
      </c>
      <c r="D1346" s="7" t="s">
        <v>52</v>
      </c>
      <c r="E1346" s="7" t="str">
        <f>"陶静芮"</f>
        <v>陶静芮</v>
      </c>
      <c r="F1346" s="7" t="s">
        <v>53</v>
      </c>
      <c r="G1346" s="7"/>
    </row>
    <row r="1347" ht="18" customHeight="1" spans="1:7">
      <c r="A1347" s="7">
        <v>1345</v>
      </c>
      <c r="B1347" s="7" t="str">
        <f t="shared" si="68"/>
        <v>0405</v>
      </c>
      <c r="C1347" s="7" t="s">
        <v>57</v>
      </c>
      <c r="D1347" s="7" t="s">
        <v>52</v>
      </c>
      <c r="E1347" s="7" t="str">
        <f>"曹靖静"</f>
        <v>曹靖静</v>
      </c>
      <c r="F1347" s="7" t="s">
        <v>53</v>
      </c>
      <c r="G1347" s="7"/>
    </row>
    <row r="1348" ht="18" customHeight="1" spans="1:7">
      <c r="A1348" s="7">
        <v>1346</v>
      </c>
      <c r="B1348" s="7" t="str">
        <f t="shared" si="68"/>
        <v>0405</v>
      </c>
      <c r="C1348" s="7" t="s">
        <v>57</v>
      </c>
      <c r="D1348" s="7" t="s">
        <v>52</v>
      </c>
      <c r="E1348" s="7" t="str">
        <f>"李红招"</f>
        <v>李红招</v>
      </c>
      <c r="F1348" s="7" t="s">
        <v>53</v>
      </c>
      <c r="G1348" s="7"/>
    </row>
    <row r="1349" ht="18" customHeight="1" spans="1:7">
      <c r="A1349" s="7">
        <v>1347</v>
      </c>
      <c r="B1349" s="7" t="str">
        <f t="shared" si="68"/>
        <v>0405</v>
      </c>
      <c r="C1349" s="7" t="s">
        <v>57</v>
      </c>
      <c r="D1349" s="7" t="s">
        <v>52</v>
      </c>
      <c r="E1349" s="7" t="str">
        <f>"高武"</f>
        <v>高武</v>
      </c>
      <c r="F1349" s="7" t="s">
        <v>53</v>
      </c>
      <c r="G1349" s="7"/>
    </row>
    <row r="1350" ht="18" customHeight="1" spans="1:7">
      <c r="A1350" s="7">
        <v>1348</v>
      </c>
      <c r="B1350" s="7" t="str">
        <f t="shared" si="68"/>
        <v>0405</v>
      </c>
      <c r="C1350" s="7" t="s">
        <v>57</v>
      </c>
      <c r="D1350" s="7" t="s">
        <v>52</v>
      </c>
      <c r="E1350" s="7" t="str">
        <f>"郭逸群"</f>
        <v>郭逸群</v>
      </c>
      <c r="F1350" s="7" t="s">
        <v>53</v>
      </c>
      <c r="G1350" s="7"/>
    </row>
    <row r="1351" ht="18" customHeight="1" spans="1:7">
      <c r="A1351" s="7">
        <v>1349</v>
      </c>
      <c r="B1351" s="7" t="str">
        <f t="shared" ref="B1351:B1368" si="69">"0503"</f>
        <v>0503</v>
      </c>
      <c r="C1351" s="7" t="s">
        <v>58</v>
      </c>
      <c r="D1351" s="7" t="s">
        <v>59</v>
      </c>
      <c r="E1351" s="7" t="str">
        <f>"邱丹"</f>
        <v>邱丹</v>
      </c>
      <c r="F1351" s="7" t="s">
        <v>60</v>
      </c>
      <c r="G1351" s="7"/>
    </row>
    <row r="1352" ht="18" customHeight="1" spans="1:7">
      <c r="A1352" s="7">
        <v>1350</v>
      </c>
      <c r="B1352" s="7" t="str">
        <f t="shared" si="69"/>
        <v>0503</v>
      </c>
      <c r="C1352" s="7" t="s">
        <v>58</v>
      </c>
      <c r="D1352" s="7" t="s">
        <v>59</v>
      </c>
      <c r="E1352" s="9" t="str">
        <f>"张鑫"</f>
        <v>张鑫</v>
      </c>
      <c r="F1352" s="9" t="s">
        <v>60</v>
      </c>
      <c r="G1352" s="7" t="str">
        <f>"020030"</f>
        <v>020030</v>
      </c>
    </row>
    <row r="1353" ht="18" customHeight="1" spans="1:7">
      <c r="A1353" s="7">
        <v>1351</v>
      </c>
      <c r="B1353" s="7" t="str">
        <f t="shared" si="69"/>
        <v>0503</v>
      </c>
      <c r="C1353" s="7" t="s">
        <v>58</v>
      </c>
      <c r="D1353" s="7" t="s">
        <v>59</v>
      </c>
      <c r="E1353" s="7" t="str">
        <f>"周李美佳"</f>
        <v>周李美佳</v>
      </c>
      <c r="F1353" s="7" t="s">
        <v>60</v>
      </c>
      <c r="G1353" s="7"/>
    </row>
    <row r="1354" ht="18" customHeight="1" spans="1:7">
      <c r="A1354" s="7">
        <v>1352</v>
      </c>
      <c r="B1354" s="7" t="str">
        <f t="shared" si="69"/>
        <v>0503</v>
      </c>
      <c r="C1354" s="7" t="s">
        <v>58</v>
      </c>
      <c r="D1354" s="7" t="s">
        <v>59</v>
      </c>
      <c r="E1354" s="7" t="str">
        <f>"孙洋洋"</f>
        <v>孙洋洋</v>
      </c>
      <c r="F1354" s="7" t="s">
        <v>60</v>
      </c>
      <c r="G1354" s="7"/>
    </row>
    <row r="1355" ht="18" customHeight="1" spans="1:7">
      <c r="A1355" s="7">
        <v>1353</v>
      </c>
      <c r="B1355" s="7" t="str">
        <f t="shared" si="69"/>
        <v>0503</v>
      </c>
      <c r="C1355" s="7" t="s">
        <v>58</v>
      </c>
      <c r="D1355" s="7" t="s">
        <v>59</v>
      </c>
      <c r="E1355" s="7" t="str">
        <f>"杨吟月"</f>
        <v>杨吟月</v>
      </c>
      <c r="F1355" s="7" t="s">
        <v>60</v>
      </c>
      <c r="G1355" s="7"/>
    </row>
    <row r="1356" ht="18" customHeight="1" spans="1:7">
      <c r="A1356" s="7">
        <v>1354</v>
      </c>
      <c r="B1356" s="7" t="str">
        <f t="shared" si="69"/>
        <v>0503</v>
      </c>
      <c r="C1356" s="7" t="s">
        <v>58</v>
      </c>
      <c r="D1356" s="7" t="s">
        <v>59</v>
      </c>
      <c r="E1356" s="7" t="str">
        <f>"梁燕雯"</f>
        <v>梁燕雯</v>
      </c>
      <c r="F1356" s="7" t="s">
        <v>60</v>
      </c>
      <c r="G1356" s="7"/>
    </row>
    <row r="1357" ht="18" customHeight="1" spans="1:7">
      <c r="A1357" s="7">
        <v>1355</v>
      </c>
      <c r="B1357" s="7" t="str">
        <f t="shared" si="69"/>
        <v>0503</v>
      </c>
      <c r="C1357" s="7" t="s">
        <v>58</v>
      </c>
      <c r="D1357" s="7" t="s">
        <v>59</v>
      </c>
      <c r="E1357" s="7" t="str">
        <f>"吴海星"</f>
        <v>吴海星</v>
      </c>
      <c r="F1357" s="7" t="s">
        <v>60</v>
      </c>
      <c r="G1357" s="7"/>
    </row>
    <row r="1358" ht="18" customHeight="1" spans="1:7">
      <c r="A1358" s="7">
        <v>1356</v>
      </c>
      <c r="B1358" s="7" t="str">
        <f t="shared" si="69"/>
        <v>0503</v>
      </c>
      <c r="C1358" s="7" t="s">
        <v>58</v>
      </c>
      <c r="D1358" s="7" t="s">
        <v>59</v>
      </c>
      <c r="E1358" s="7" t="str">
        <f>"王世伟"</f>
        <v>王世伟</v>
      </c>
      <c r="F1358" s="7" t="s">
        <v>60</v>
      </c>
      <c r="G1358" s="7"/>
    </row>
    <row r="1359" ht="18" customHeight="1" spans="1:7">
      <c r="A1359" s="7">
        <v>1357</v>
      </c>
      <c r="B1359" s="7" t="str">
        <f t="shared" si="69"/>
        <v>0503</v>
      </c>
      <c r="C1359" s="7" t="s">
        <v>58</v>
      </c>
      <c r="D1359" s="7" t="s">
        <v>59</v>
      </c>
      <c r="E1359" s="7" t="str">
        <f>"曲亚男"</f>
        <v>曲亚男</v>
      </c>
      <c r="F1359" s="7" t="s">
        <v>60</v>
      </c>
      <c r="G1359" s="7"/>
    </row>
    <row r="1360" ht="18" customHeight="1" spans="1:7">
      <c r="A1360" s="7">
        <v>1358</v>
      </c>
      <c r="B1360" s="7" t="str">
        <f t="shared" si="69"/>
        <v>0503</v>
      </c>
      <c r="C1360" s="7" t="s">
        <v>58</v>
      </c>
      <c r="D1360" s="7" t="s">
        <v>59</v>
      </c>
      <c r="E1360" s="7" t="str">
        <f>"黄琼妹"</f>
        <v>黄琼妹</v>
      </c>
      <c r="F1360" s="7" t="s">
        <v>60</v>
      </c>
      <c r="G1360" s="7"/>
    </row>
    <row r="1361" ht="18" customHeight="1" spans="1:7">
      <c r="A1361" s="7">
        <v>1359</v>
      </c>
      <c r="B1361" s="7" t="str">
        <f t="shared" si="69"/>
        <v>0503</v>
      </c>
      <c r="C1361" s="7" t="s">
        <v>58</v>
      </c>
      <c r="D1361" s="7" t="s">
        <v>59</v>
      </c>
      <c r="E1361" s="7" t="str">
        <f>"童胜男"</f>
        <v>童胜男</v>
      </c>
      <c r="F1361" s="7" t="s">
        <v>60</v>
      </c>
      <c r="G1361" s="7"/>
    </row>
    <row r="1362" ht="18" customHeight="1" spans="1:7">
      <c r="A1362" s="7">
        <v>1360</v>
      </c>
      <c r="B1362" s="7" t="str">
        <f t="shared" si="69"/>
        <v>0503</v>
      </c>
      <c r="C1362" s="7" t="s">
        <v>58</v>
      </c>
      <c r="D1362" s="7" t="s">
        <v>59</v>
      </c>
      <c r="E1362" s="7" t="str">
        <f>"杨晴"</f>
        <v>杨晴</v>
      </c>
      <c r="F1362" s="7" t="s">
        <v>60</v>
      </c>
      <c r="G1362" s="7"/>
    </row>
    <row r="1363" ht="18" customHeight="1" spans="1:7">
      <c r="A1363" s="7">
        <v>1361</v>
      </c>
      <c r="B1363" s="7" t="str">
        <f t="shared" si="69"/>
        <v>0503</v>
      </c>
      <c r="C1363" s="7" t="s">
        <v>58</v>
      </c>
      <c r="D1363" s="7" t="s">
        <v>59</v>
      </c>
      <c r="E1363" s="7" t="str">
        <f>"杨振光"</f>
        <v>杨振光</v>
      </c>
      <c r="F1363" s="7" t="s">
        <v>60</v>
      </c>
      <c r="G1363" s="7"/>
    </row>
    <row r="1364" ht="18" customHeight="1" spans="1:7">
      <c r="A1364" s="7">
        <v>1362</v>
      </c>
      <c r="B1364" s="7" t="str">
        <f t="shared" si="69"/>
        <v>0503</v>
      </c>
      <c r="C1364" s="7" t="s">
        <v>58</v>
      </c>
      <c r="D1364" s="7" t="s">
        <v>59</v>
      </c>
      <c r="E1364" s="7" t="str">
        <f>"方昕"</f>
        <v>方昕</v>
      </c>
      <c r="F1364" s="7" t="s">
        <v>60</v>
      </c>
      <c r="G1364" s="7"/>
    </row>
    <row r="1365" ht="18" customHeight="1" spans="1:7">
      <c r="A1365" s="7">
        <v>1363</v>
      </c>
      <c r="B1365" s="7" t="str">
        <f t="shared" si="69"/>
        <v>0503</v>
      </c>
      <c r="C1365" s="7" t="s">
        <v>58</v>
      </c>
      <c r="D1365" s="7" t="s">
        <v>59</v>
      </c>
      <c r="E1365" s="7" t="str">
        <f>"王伟静"</f>
        <v>王伟静</v>
      </c>
      <c r="F1365" s="7" t="s">
        <v>60</v>
      </c>
      <c r="G1365" s="7"/>
    </row>
    <row r="1366" ht="18" customHeight="1" spans="1:7">
      <c r="A1366" s="7">
        <v>1364</v>
      </c>
      <c r="B1366" s="7" t="str">
        <f t="shared" si="69"/>
        <v>0503</v>
      </c>
      <c r="C1366" s="7" t="s">
        <v>58</v>
      </c>
      <c r="D1366" s="7" t="s">
        <v>59</v>
      </c>
      <c r="E1366" s="7" t="str">
        <f>"黄振华"</f>
        <v>黄振华</v>
      </c>
      <c r="F1366" s="7" t="s">
        <v>60</v>
      </c>
      <c r="G1366" s="7"/>
    </row>
    <row r="1367" ht="18" customHeight="1" spans="1:7">
      <c r="A1367" s="7">
        <v>1365</v>
      </c>
      <c r="B1367" s="7" t="str">
        <f t="shared" si="69"/>
        <v>0503</v>
      </c>
      <c r="C1367" s="7" t="s">
        <v>58</v>
      </c>
      <c r="D1367" s="7" t="s">
        <v>59</v>
      </c>
      <c r="E1367" s="7" t="str">
        <f>"李南"</f>
        <v>李南</v>
      </c>
      <c r="F1367" s="7" t="s">
        <v>60</v>
      </c>
      <c r="G1367" s="7"/>
    </row>
    <row r="1368" ht="18" customHeight="1" spans="1:7">
      <c r="A1368" s="7">
        <v>1366</v>
      </c>
      <c r="B1368" s="7" t="str">
        <f t="shared" si="69"/>
        <v>0503</v>
      </c>
      <c r="C1368" s="7" t="s">
        <v>58</v>
      </c>
      <c r="D1368" s="7" t="s">
        <v>59</v>
      </c>
      <c r="E1368" s="7" t="str">
        <f>"李瑞"</f>
        <v>李瑞</v>
      </c>
      <c r="F1368" s="7" t="s">
        <v>60</v>
      </c>
      <c r="G1368" s="7"/>
    </row>
    <row r="1369" ht="18" customHeight="1" spans="1:7">
      <c r="A1369" s="7">
        <v>1367</v>
      </c>
      <c r="B1369" s="7" t="str">
        <f t="shared" ref="B1369:B1375" si="70">"0504"</f>
        <v>0504</v>
      </c>
      <c r="C1369" s="7" t="s">
        <v>61</v>
      </c>
      <c r="D1369" s="7" t="s">
        <v>59</v>
      </c>
      <c r="E1369" s="7" t="str">
        <f>"吴璐瑶"</f>
        <v>吴璐瑶</v>
      </c>
      <c r="F1369" s="7" t="s">
        <v>60</v>
      </c>
      <c r="G1369" s="7"/>
    </row>
    <row r="1370" ht="18" customHeight="1" spans="1:7">
      <c r="A1370" s="7">
        <v>1368</v>
      </c>
      <c r="B1370" s="7" t="str">
        <f t="shared" si="70"/>
        <v>0504</v>
      </c>
      <c r="C1370" s="7" t="s">
        <v>61</v>
      </c>
      <c r="D1370" s="7" t="s">
        <v>59</v>
      </c>
      <c r="E1370" s="7" t="str">
        <f>"张立婷"</f>
        <v>张立婷</v>
      </c>
      <c r="F1370" s="7" t="s">
        <v>60</v>
      </c>
      <c r="G1370" s="7"/>
    </row>
    <row r="1371" ht="18" customHeight="1" spans="1:7">
      <c r="A1371" s="7">
        <v>1369</v>
      </c>
      <c r="B1371" s="7" t="str">
        <f t="shared" si="70"/>
        <v>0504</v>
      </c>
      <c r="C1371" s="7" t="s">
        <v>61</v>
      </c>
      <c r="D1371" s="7" t="s">
        <v>59</v>
      </c>
      <c r="E1371" s="7" t="str">
        <f>"唐远玲"</f>
        <v>唐远玲</v>
      </c>
      <c r="F1371" s="7" t="s">
        <v>60</v>
      </c>
      <c r="G1371" s="7"/>
    </row>
    <row r="1372" ht="18" customHeight="1" spans="1:7">
      <c r="A1372" s="7">
        <v>1370</v>
      </c>
      <c r="B1372" s="7" t="str">
        <f t="shared" si="70"/>
        <v>0504</v>
      </c>
      <c r="C1372" s="7" t="s">
        <v>61</v>
      </c>
      <c r="D1372" s="7" t="s">
        <v>59</v>
      </c>
      <c r="E1372" s="7" t="str">
        <f>"陈明宇"</f>
        <v>陈明宇</v>
      </c>
      <c r="F1372" s="7" t="s">
        <v>60</v>
      </c>
      <c r="G1372" s="7"/>
    </row>
    <row r="1373" ht="18" customHeight="1" spans="1:7">
      <c r="A1373" s="7">
        <v>1371</v>
      </c>
      <c r="B1373" s="7" t="str">
        <f t="shared" si="70"/>
        <v>0504</v>
      </c>
      <c r="C1373" s="7" t="s">
        <v>61</v>
      </c>
      <c r="D1373" s="7" t="s">
        <v>59</v>
      </c>
      <c r="E1373" s="7" t="str">
        <f>"薛梅"</f>
        <v>薛梅</v>
      </c>
      <c r="F1373" s="7" t="s">
        <v>60</v>
      </c>
      <c r="G1373" s="7"/>
    </row>
    <row r="1374" ht="18" customHeight="1" spans="1:7">
      <c r="A1374" s="7">
        <v>1372</v>
      </c>
      <c r="B1374" s="7" t="str">
        <f t="shared" si="70"/>
        <v>0504</v>
      </c>
      <c r="C1374" s="7" t="s">
        <v>61</v>
      </c>
      <c r="D1374" s="7" t="s">
        <v>59</v>
      </c>
      <c r="E1374" s="7" t="str">
        <f>"何瑞丹"</f>
        <v>何瑞丹</v>
      </c>
      <c r="F1374" s="7" t="s">
        <v>60</v>
      </c>
      <c r="G1374" s="7"/>
    </row>
    <row r="1375" ht="18" customHeight="1" spans="1:7">
      <c r="A1375" s="7">
        <v>1373</v>
      </c>
      <c r="B1375" s="7" t="str">
        <f t="shared" si="70"/>
        <v>0504</v>
      </c>
      <c r="C1375" s="7" t="s">
        <v>61</v>
      </c>
      <c r="D1375" s="7" t="s">
        <v>59</v>
      </c>
      <c r="E1375" s="7" t="str">
        <f>"赵昱钧"</f>
        <v>赵昱钧</v>
      </c>
      <c r="F1375" s="7" t="s">
        <v>60</v>
      </c>
      <c r="G1375" s="7"/>
    </row>
    <row r="1376" ht="18" customHeight="1" spans="1:7">
      <c r="A1376" s="7">
        <v>1374</v>
      </c>
      <c r="B1376" s="7" t="str">
        <f>"0601"</f>
        <v>0601</v>
      </c>
      <c r="C1376" s="7" t="s">
        <v>62</v>
      </c>
      <c r="D1376" s="7" t="s">
        <v>63</v>
      </c>
      <c r="E1376" s="7" t="str">
        <f>"符芷菱"</f>
        <v>符芷菱</v>
      </c>
      <c r="F1376" s="7" t="s">
        <v>60</v>
      </c>
      <c r="G1376" s="7"/>
    </row>
    <row r="1377" ht="18" customHeight="1" spans="1:7">
      <c r="A1377" s="7">
        <v>1375</v>
      </c>
      <c r="B1377" s="7" t="str">
        <f>"0601"</f>
        <v>0601</v>
      </c>
      <c r="C1377" s="7" t="s">
        <v>62</v>
      </c>
      <c r="D1377" s="7" t="s">
        <v>63</v>
      </c>
      <c r="E1377" s="7" t="str">
        <f>"何聪颖"</f>
        <v>何聪颖</v>
      </c>
      <c r="F1377" s="7" t="s">
        <v>60</v>
      </c>
      <c r="G1377" s="7"/>
    </row>
    <row r="1378" ht="18" customHeight="1" spans="1:7">
      <c r="A1378" s="7">
        <v>1376</v>
      </c>
      <c r="B1378" s="7" t="str">
        <f>"0601"</f>
        <v>0601</v>
      </c>
      <c r="C1378" s="7" t="s">
        <v>62</v>
      </c>
      <c r="D1378" s="7" t="s">
        <v>63</v>
      </c>
      <c r="E1378" s="7" t="str">
        <f>"任洁琳"</f>
        <v>任洁琳</v>
      </c>
      <c r="F1378" s="7" t="s">
        <v>60</v>
      </c>
      <c r="G1378" s="7"/>
    </row>
    <row r="1379" ht="18" customHeight="1" spans="1:7">
      <c r="A1379" s="7">
        <v>1377</v>
      </c>
      <c r="B1379" s="7" t="str">
        <f>"0601"</f>
        <v>0601</v>
      </c>
      <c r="C1379" s="7" t="s">
        <v>62</v>
      </c>
      <c r="D1379" s="7" t="s">
        <v>63</v>
      </c>
      <c r="E1379" s="7" t="str">
        <f>"韦强壮"</f>
        <v>韦强壮</v>
      </c>
      <c r="F1379" s="7" t="s">
        <v>60</v>
      </c>
      <c r="G1379" s="7"/>
    </row>
    <row r="1380" ht="18" customHeight="1" spans="1:7">
      <c r="A1380" s="7">
        <v>1378</v>
      </c>
      <c r="B1380" s="7" t="str">
        <f>"0602"</f>
        <v>0602</v>
      </c>
      <c r="C1380" s="7" t="s">
        <v>64</v>
      </c>
      <c r="D1380" s="7" t="s">
        <v>63</v>
      </c>
      <c r="E1380" s="7" t="str">
        <f>"王能源"</f>
        <v>王能源</v>
      </c>
      <c r="F1380" s="7" t="s">
        <v>60</v>
      </c>
      <c r="G1380" s="7"/>
    </row>
    <row r="1381" ht="18" customHeight="1" spans="1:7">
      <c r="A1381" s="7">
        <v>1379</v>
      </c>
      <c r="B1381" s="7" t="str">
        <f>"0602"</f>
        <v>0602</v>
      </c>
      <c r="C1381" s="7" t="s">
        <v>64</v>
      </c>
      <c r="D1381" s="7" t="s">
        <v>63</v>
      </c>
      <c r="E1381" s="7" t="str">
        <f>"韩粤"</f>
        <v>韩粤</v>
      </c>
      <c r="F1381" s="7" t="s">
        <v>60</v>
      </c>
      <c r="G1381" s="7"/>
    </row>
    <row r="1382" ht="18" customHeight="1" spans="1:7">
      <c r="A1382" s="7">
        <v>1380</v>
      </c>
      <c r="B1382" s="7" t="str">
        <f>"0602"</f>
        <v>0602</v>
      </c>
      <c r="C1382" s="7" t="s">
        <v>64</v>
      </c>
      <c r="D1382" s="7" t="s">
        <v>63</v>
      </c>
      <c r="E1382" s="7" t="str">
        <f>"李成业"</f>
        <v>李成业</v>
      </c>
      <c r="F1382" s="7" t="s">
        <v>60</v>
      </c>
      <c r="G1382" s="7"/>
    </row>
    <row r="1383" ht="18" customHeight="1" spans="1:7">
      <c r="A1383" s="7">
        <v>1381</v>
      </c>
      <c r="B1383" s="7" t="str">
        <f t="shared" ref="B1383:B1391" si="71">"0603"</f>
        <v>0603</v>
      </c>
      <c r="C1383" s="7" t="s">
        <v>65</v>
      </c>
      <c r="D1383" s="7" t="s">
        <v>59</v>
      </c>
      <c r="E1383" s="7" t="str">
        <f>"陈玉宝"</f>
        <v>陈玉宝</v>
      </c>
      <c r="F1383" s="7" t="s">
        <v>60</v>
      </c>
      <c r="G1383" s="7"/>
    </row>
    <row r="1384" ht="18" customHeight="1" spans="1:7">
      <c r="A1384" s="7">
        <v>1382</v>
      </c>
      <c r="B1384" s="7" t="str">
        <f t="shared" si="71"/>
        <v>0603</v>
      </c>
      <c r="C1384" s="7" t="s">
        <v>65</v>
      </c>
      <c r="D1384" s="7" t="s">
        <v>59</v>
      </c>
      <c r="E1384" s="7" t="str">
        <f>"陈后茂"</f>
        <v>陈后茂</v>
      </c>
      <c r="F1384" s="7" t="s">
        <v>60</v>
      </c>
      <c r="G1384" s="7"/>
    </row>
    <row r="1385" ht="18" customHeight="1" spans="1:7">
      <c r="A1385" s="7">
        <v>1383</v>
      </c>
      <c r="B1385" s="7" t="str">
        <f t="shared" si="71"/>
        <v>0603</v>
      </c>
      <c r="C1385" s="7" t="s">
        <v>65</v>
      </c>
      <c r="D1385" s="7" t="s">
        <v>59</v>
      </c>
      <c r="E1385" s="7" t="str">
        <f>"李伟"</f>
        <v>李伟</v>
      </c>
      <c r="F1385" s="7" t="s">
        <v>60</v>
      </c>
      <c r="G1385" s="7"/>
    </row>
    <row r="1386" ht="18" customHeight="1" spans="1:7">
      <c r="A1386" s="7">
        <v>1384</v>
      </c>
      <c r="B1386" s="7" t="str">
        <f t="shared" si="71"/>
        <v>0603</v>
      </c>
      <c r="C1386" s="7" t="s">
        <v>65</v>
      </c>
      <c r="D1386" s="7" t="s">
        <v>59</v>
      </c>
      <c r="E1386" s="7" t="str">
        <f>"符殿宝"</f>
        <v>符殿宝</v>
      </c>
      <c r="F1386" s="7" t="s">
        <v>60</v>
      </c>
      <c r="G1386" s="7"/>
    </row>
    <row r="1387" ht="18" customHeight="1" spans="1:7">
      <c r="A1387" s="7">
        <v>1385</v>
      </c>
      <c r="B1387" s="7" t="str">
        <f t="shared" si="71"/>
        <v>0603</v>
      </c>
      <c r="C1387" s="7" t="s">
        <v>65</v>
      </c>
      <c r="D1387" s="7" t="s">
        <v>59</v>
      </c>
      <c r="E1387" s="7" t="str">
        <f>"符珊"</f>
        <v>符珊</v>
      </c>
      <c r="F1387" s="7" t="s">
        <v>60</v>
      </c>
      <c r="G1387" s="7"/>
    </row>
    <row r="1388" ht="18" customHeight="1" spans="1:7">
      <c r="A1388" s="7">
        <v>1386</v>
      </c>
      <c r="B1388" s="7" t="str">
        <f t="shared" si="71"/>
        <v>0603</v>
      </c>
      <c r="C1388" s="7" t="s">
        <v>65</v>
      </c>
      <c r="D1388" s="7" t="s">
        <v>59</v>
      </c>
      <c r="E1388" s="7" t="str">
        <f>"王瑛"</f>
        <v>王瑛</v>
      </c>
      <c r="F1388" s="7" t="s">
        <v>60</v>
      </c>
      <c r="G1388" s="7"/>
    </row>
    <row r="1389" ht="18" customHeight="1" spans="1:7">
      <c r="A1389" s="7">
        <v>1387</v>
      </c>
      <c r="B1389" s="7" t="str">
        <f t="shared" si="71"/>
        <v>0603</v>
      </c>
      <c r="C1389" s="7" t="s">
        <v>65</v>
      </c>
      <c r="D1389" s="7" t="s">
        <v>59</v>
      </c>
      <c r="E1389" s="7" t="str">
        <f>"蔡程帆"</f>
        <v>蔡程帆</v>
      </c>
      <c r="F1389" s="7" t="s">
        <v>60</v>
      </c>
      <c r="G1389" s="7"/>
    </row>
    <row r="1390" ht="18" customHeight="1" spans="1:7">
      <c r="A1390" s="7">
        <v>1388</v>
      </c>
      <c r="B1390" s="7" t="str">
        <f t="shared" si="71"/>
        <v>0603</v>
      </c>
      <c r="C1390" s="7" t="s">
        <v>65</v>
      </c>
      <c r="D1390" s="7" t="s">
        <v>59</v>
      </c>
      <c r="E1390" s="7" t="str">
        <f>"曾浩然"</f>
        <v>曾浩然</v>
      </c>
      <c r="F1390" s="7" t="s">
        <v>60</v>
      </c>
      <c r="G1390" s="7"/>
    </row>
    <row r="1391" ht="18" customHeight="1" spans="1:7">
      <c r="A1391" s="7">
        <v>1389</v>
      </c>
      <c r="B1391" s="7" t="str">
        <f t="shared" si="71"/>
        <v>0603</v>
      </c>
      <c r="C1391" s="7" t="s">
        <v>65</v>
      </c>
      <c r="D1391" s="7" t="s">
        <v>59</v>
      </c>
      <c r="E1391" s="7" t="str">
        <f>"陈晨"</f>
        <v>陈晨</v>
      </c>
      <c r="F1391" s="7" t="s">
        <v>60</v>
      </c>
      <c r="G1391" s="7"/>
    </row>
    <row r="1392" ht="18" customHeight="1" spans="1:7">
      <c r="A1392" s="7">
        <v>1390</v>
      </c>
      <c r="B1392" s="7" t="str">
        <f>"0604"</f>
        <v>0604</v>
      </c>
      <c r="C1392" s="7" t="s">
        <v>66</v>
      </c>
      <c r="D1392" s="7" t="s">
        <v>59</v>
      </c>
      <c r="E1392" s="7" t="str">
        <f>"刘黎静"</f>
        <v>刘黎静</v>
      </c>
      <c r="F1392" s="7" t="s">
        <v>60</v>
      </c>
      <c r="G1392" s="7"/>
    </row>
    <row r="1393" ht="18" customHeight="1" spans="1:7">
      <c r="A1393" s="7">
        <v>1391</v>
      </c>
      <c r="B1393" s="7" t="str">
        <f>"0604"</f>
        <v>0604</v>
      </c>
      <c r="C1393" s="7" t="s">
        <v>66</v>
      </c>
      <c r="D1393" s="7" t="s">
        <v>59</v>
      </c>
      <c r="E1393" s="7" t="str">
        <f>"林森"</f>
        <v>林森</v>
      </c>
      <c r="F1393" s="7" t="s">
        <v>60</v>
      </c>
      <c r="G1393" s="7"/>
    </row>
    <row r="1394" ht="18" customHeight="1" spans="1:7">
      <c r="A1394" s="7">
        <v>1392</v>
      </c>
      <c r="B1394" s="7" t="str">
        <f>"0604"</f>
        <v>0604</v>
      </c>
      <c r="C1394" s="7" t="s">
        <v>66</v>
      </c>
      <c r="D1394" s="7" t="s">
        <v>59</v>
      </c>
      <c r="E1394" s="7" t="str">
        <f>"张宇"</f>
        <v>张宇</v>
      </c>
      <c r="F1394" s="7" t="s">
        <v>60</v>
      </c>
      <c r="G1394" s="7"/>
    </row>
    <row r="1395" ht="18" customHeight="1" spans="1:7">
      <c r="A1395" s="7">
        <v>1393</v>
      </c>
      <c r="B1395" s="7" t="str">
        <f>"0604"</f>
        <v>0604</v>
      </c>
      <c r="C1395" s="7" t="s">
        <v>66</v>
      </c>
      <c r="D1395" s="7" t="s">
        <v>59</v>
      </c>
      <c r="E1395" s="7" t="str">
        <f>"张婉婷"</f>
        <v>张婉婷</v>
      </c>
      <c r="F1395" s="7" t="s">
        <v>60</v>
      </c>
      <c r="G1395" s="7"/>
    </row>
    <row r="1396" ht="18" customHeight="1" spans="1:7">
      <c r="A1396" s="7">
        <v>1394</v>
      </c>
      <c r="B1396" s="7" t="str">
        <f t="shared" ref="B1396:B1401" si="72">"0606"</f>
        <v>0606</v>
      </c>
      <c r="C1396" s="7" t="s">
        <v>67</v>
      </c>
      <c r="D1396" s="7" t="s">
        <v>63</v>
      </c>
      <c r="E1396" s="7" t="str">
        <f>"罗家庆"</f>
        <v>罗家庆</v>
      </c>
      <c r="F1396" s="7" t="s">
        <v>60</v>
      </c>
      <c r="G1396" s="7"/>
    </row>
    <row r="1397" ht="18" customHeight="1" spans="1:7">
      <c r="A1397" s="7">
        <v>1395</v>
      </c>
      <c r="B1397" s="7" t="str">
        <f t="shared" si="72"/>
        <v>0606</v>
      </c>
      <c r="C1397" s="7" t="s">
        <v>67</v>
      </c>
      <c r="D1397" s="7" t="s">
        <v>63</v>
      </c>
      <c r="E1397" s="7" t="str">
        <f>"辛文琪"</f>
        <v>辛文琪</v>
      </c>
      <c r="F1397" s="7" t="s">
        <v>60</v>
      </c>
      <c r="G1397" s="7"/>
    </row>
    <row r="1398" ht="18" customHeight="1" spans="1:7">
      <c r="A1398" s="7">
        <v>1396</v>
      </c>
      <c r="B1398" s="7" t="str">
        <f t="shared" si="72"/>
        <v>0606</v>
      </c>
      <c r="C1398" s="7" t="s">
        <v>67</v>
      </c>
      <c r="D1398" s="7" t="s">
        <v>63</v>
      </c>
      <c r="E1398" s="7" t="str">
        <f>"高晶"</f>
        <v>高晶</v>
      </c>
      <c r="F1398" s="7" t="s">
        <v>60</v>
      </c>
      <c r="G1398" s="7"/>
    </row>
    <row r="1399" ht="18" customHeight="1" spans="1:7">
      <c r="A1399" s="7">
        <v>1397</v>
      </c>
      <c r="B1399" s="7" t="str">
        <f t="shared" si="72"/>
        <v>0606</v>
      </c>
      <c r="C1399" s="7" t="s">
        <v>67</v>
      </c>
      <c r="D1399" s="7" t="s">
        <v>63</v>
      </c>
      <c r="E1399" s="7" t="str">
        <f>"王珂"</f>
        <v>王珂</v>
      </c>
      <c r="F1399" s="7" t="s">
        <v>60</v>
      </c>
      <c r="G1399" s="7"/>
    </row>
    <row r="1400" ht="18" customHeight="1" spans="1:7">
      <c r="A1400" s="7">
        <v>1398</v>
      </c>
      <c r="B1400" s="7" t="str">
        <f t="shared" si="72"/>
        <v>0606</v>
      </c>
      <c r="C1400" s="7" t="s">
        <v>67</v>
      </c>
      <c r="D1400" s="7" t="s">
        <v>63</v>
      </c>
      <c r="E1400" s="7" t="str">
        <f>"刘佳丽"</f>
        <v>刘佳丽</v>
      </c>
      <c r="F1400" s="7" t="s">
        <v>60</v>
      </c>
      <c r="G1400" s="7"/>
    </row>
    <row r="1401" ht="18" customHeight="1" spans="1:7">
      <c r="A1401" s="7">
        <v>1399</v>
      </c>
      <c r="B1401" s="7" t="str">
        <f t="shared" si="72"/>
        <v>0606</v>
      </c>
      <c r="C1401" s="7" t="s">
        <v>67</v>
      </c>
      <c r="D1401" s="7" t="s">
        <v>63</v>
      </c>
      <c r="E1401" s="7" t="str">
        <f>"张鑫瑜"</f>
        <v>张鑫瑜</v>
      </c>
      <c r="F1401" s="7" t="s">
        <v>60</v>
      </c>
      <c r="G1401" s="7"/>
    </row>
    <row r="1402" ht="18" customHeight="1" spans="1:7">
      <c r="A1402" s="7">
        <v>1400</v>
      </c>
      <c r="B1402" s="7" t="str">
        <f t="shared" ref="B1402:B1416" si="73">"0607"</f>
        <v>0607</v>
      </c>
      <c r="C1402" s="7" t="s">
        <v>68</v>
      </c>
      <c r="D1402" s="7" t="s">
        <v>63</v>
      </c>
      <c r="E1402" s="7" t="str">
        <f>"刘晟蕾"</f>
        <v>刘晟蕾</v>
      </c>
      <c r="F1402" s="7" t="s">
        <v>60</v>
      </c>
      <c r="G1402" s="7"/>
    </row>
    <row r="1403" ht="18" customHeight="1" spans="1:7">
      <c r="A1403" s="7">
        <v>1401</v>
      </c>
      <c r="B1403" s="7" t="str">
        <f t="shared" si="73"/>
        <v>0607</v>
      </c>
      <c r="C1403" s="7" t="s">
        <v>68</v>
      </c>
      <c r="D1403" s="7" t="s">
        <v>63</v>
      </c>
      <c r="E1403" s="7" t="str">
        <f>"钱雨凝"</f>
        <v>钱雨凝</v>
      </c>
      <c r="F1403" s="7" t="s">
        <v>60</v>
      </c>
      <c r="G1403" s="7"/>
    </row>
    <row r="1404" ht="18" customHeight="1" spans="1:7">
      <c r="A1404" s="7">
        <v>1402</v>
      </c>
      <c r="B1404" s="7" t="str">
        <f t="shared" si="73"/>
        <v>0607</v>
      </c>
      <c r="C1404" s="7" t="s">
        <v>68</v>
      </c>
      <c r="D1404" s="7" t="s">
        <v>63</v>
      </c>
      <c r="E1404" s="7" t="str">
        <f>"石佳"</f>
        <v>石佳</v>
      </c>
      <c r="F1404" s="7" t="s">
        <v>60</v>
      </c>
      <c r="G1404" s="7"/>
    </row>
    <row r="1405" ht="18" customHeight="1" spans="1:7">
      <c r="A1405" s="7">
        <v>1403</v>
      </c>
      <c r="B1405" s="7" t="str">
        <f t="shared" si="73"/>
        <v>0607</v>
      </c>
      <c r="C1405" s="7" t="s">
        <v>68</v>
      </c>
      <c r="D1405" s="7" t="s">
        <v>63</v>
      </c>
      <c r="E1405" s="7" t="str">
        <f>"唐山"</f>
        <v>唐山</v>
      </c>
      <c r="F1405" s="7" t="s">
        <v>60</v>
      </c>
      <c r="G1405" s="7"/>
    </row>
    <row r="1406" ht="18" customHeight="1" spans="1:7">
      <c r="A1406" s="7">
        <v>1404</v>
      </c>
      <c r="B1406" s="7" t="str">
        <f t="shared" si="73"/>
        <v>0607</v>
      </c>
      <c r="C1406" s="7" t="s">
        <v>68</v>
      </c>
      <c r="D1406" s="7" t="s">
        <v>63</v>
      </c>
      <c r="E1406" s="7" t="str">
        <f>"顾中婷"</f>
        <v>顾中婷</v>
      </c>
      <c r="F1406" s="7" t="s">
        <v>60</v>
      </c>
      <c r="G1406" s="7"/>
    </row>
    <row r="1407" ht="18" customHeight="1" spans="1:7">
      <c r="A1407" s="7">
        <v>1405</v>
      </c>
      <c r="B1407" s="7" t="str">
        <f t="shared" si="73"/>
        <v>0607</v>
      </c>
      <c r="C1407" s="7" t="s">
        <v>68</v>
      </c>
      <c r="D1407" s="7" t="s">
        <v>63</v>
      </c>
      <c r="E1407" s="7" t="str">
        <f>"闫心语"</f>
        <v>闫心语</v>
      </c>
      <c r="F1407" s="7" t="s">
        <v>60</v>
      </c>
      <c r="G1407" s="7"/>
    </row>
    <row r="1408" ht="18" customHeight="1" spans="1:7">
      <c r="A1408" s="7">
        <v>1406</v>
      </c>
      <c r="B1408" s="7" t="str">
        <f t="shared" si="73"/>
        <v>0607</v>
      </c>
      <c r="C1408" s="7" t="s">
        <v>68</v>
      </c>
      <c r="D1408" s="7" t="s">
        <v>63</v>
      </c>
      <c r="E1408" s="7" t="str">
        <f>"夏孝昆"</f>
        <v>夏孝昆</v>
      </c>
      <c r="F1408" s="7" t="s">
        <v>60</v>
      </c>
      <c r="G1408" s="7"/>
    </row>
    <row r="1409" ht="18" customHeight="1" spans="1:7">
      <c r="A1409" s="7">
        <v>1407</v>
      </c>
      <c r="B1409" s="7" t="str">
        <f t="shared" si="73"/>
        <v>0607</v>
      </c>
      <c r="C1409" s="7" t="s">
        <v>68</v>
      </c>
      <c r="D1409" s="7" t="s">
        <v>63</v>
      </c>
      <c r="E1409" s="7" t="str">
        <f>"曾文慧"</f>
        <v>曾文慧</v>
      </c>
      <c r="F1409" s="7" t="s">
        <v>60</v>
      </c>
      <c r="G1409" s="7"/>
    </row>
    <row r="1410" ht="18" customHeight="1" spans="1:7">
      <c r="A1410" s="7">
        <v>1408</v>
      </c>
      <c r="B1410" s="7" t="str">
        <f t="shared" si="73"/>
        <v>0607</v>
      </c>
      <c r="C1410" s="7" t="s">
        <v>68</v>
      </c>
      <c r="D1410" s="7" t="s">
        <v>63</v>
      </c>
      <c r="E1410" s="7" t="str">
        <f>"周丽梅"</f>
        <v>周丽梅</v>
      </c>
      <c r="F1410" s="7" t="s">
        <v>60</v>
      </c>
      <c r="G1410" s="7"/>
    </row>
    <row r="1411" ht="18" customHeight="1" spans="1:7">
      <c r="A1411" s="7">
        <v>1409</v>
      </c>
      <c r="B1411" s="7" t="str">
        <f t="shared" si="73"/>
        <v>0607</v>
      </c>
      <c r="C1411" s="7" t="s">
        <v>68</v>
      </c>
      <c r="D1411" s="7" t="s">
        <v>63</v>
      </c>
      <c r="E1411" s="7" t="str">
        <f>"陈星"</f>
        <v>陈星</v>
      </c>
      <c r="F1411" s="7" t="s">
        <v>60</v>
      </c>
      <c r="G1411" s="7"/>
    </row>
    <row r="1412" ht="18" customHeight="1" spans="1:7">
      <c r="A1412" s="7">
        <v>1410</v>
      </c>
      <c r="B1412" s="7" t="str">
        <f t="shared" si="73"/>
        <v>0607</v>
      </c>
      <c r="C1412" s="7" t="s">
        <v>68</v>
      </c>
      <c r="D1412" s="7" t="s">
        <v>63</v>
      </c>
      <c r="E1412" s="7" t="str">
        <f>"黄程"</f>
        <v>黄程</v>
      </c>
      <c r="F1412" s="7" t="s">
        <v>60</v>
      </c>
      <c r="G1412" s="7"/>
    </row>
    <row r="1413" ht="18" customHeight="1" spans="1:7">
      <c r="A1413" s="7">
        <v>1411</v>
      </c>
      <c r="B1413" s="7" t="str">
        <f t="shared" si="73"/>
        <v>0607</v>
      </c>
      <c r="C1413" s="7" t="s">
        <v>68</v>
      </c>
      <c r="D1413" s="7" t="s">
        <v>63</v>
      </c>
      <c r="E1413" s="7" t="str">
        <f>"赵子健"</f>
        <v>赵子健</v>
      </c>
      <c r="F1413" s="7" t="s">
        <v>60</v>
      </c>
      <c r="G1413" s="7"/>
    </row>
    <row r="1414" ht="18" customHeight="1" spans="1:7">
      <c r="A1414" s="7">
        <v>1412</v>
      </c>
      <c r="B1414" s="7" t="str">
        <f t="shared" si="73"/>
        <v>0607</v>
      </c>
      <c r="C1414" s="7" t="s">
        <v>68</v>
      </c>
      <c r="D1414" s="7" t="s">
        <v>63</v>
      </c>
      <c r="E1414" s="7" t="str">
        <f>"童雾璇"</f>
        <v>童雾璇</v>
      </c>
      <c r="F1414" s="7" t="s">
        <v>60</v>
      </c>
      <c r="G1414" s="7"/>
    </row>
    <row r="1415" ht="18" customHeight="1" spans="1:7">
      <c r="A1415" s="7">
        <v>1413</v>
      </c>
      <c r="B1415" s="7" t="str">
        <f t="shared" si="73"/>
        <v>0607</v>
      </c>
      <c r="C1415" s="7" t="s">
        <v>68</v>
      </c>
      <c r="D1415" s="7" t="s">
        <v>63</v>
      </c>
      <c r="E1415" s="7" t="str">
        <f>"陈若婷"</f>
        <v>陈若婷</v>
      </c>
      <c r="F1415" s="7" t="s">
        <v>60</v>
      </c>
      <c r="G1415" s="7"/>
    </row>
    <row r="1416" ht="18" customHeight="1" spans="1:7">
      <c r="A1416" s="7">
        <v>1414</v>
      </c>
      <c r="B1416" s="7" t="str">
        <f t="shared" si="73"/>
        <v>0607</v>
      </c>
      <c r="C1416" s="7" t="s">
        <v>68</v>
      </c>
      <c r="D1416" s="7" t="s">
        <v>63</v>
      </c>
      <c r="E1416" s="7" t="str">
        <f>"陈开莉"</f>
        <v>陈开莉</v>
      </c>
      <c r="F1416" s="7" t="s">
        <v>60</v>
      </c>
      <c r="G1416" s="7"/>
    </row>
    <row r="1417" ht="18" customHeight="1" spans="1:7">
      <c r="A1417" s="7">
        <v>1415</v>
      </c>
      <c r="B1417" s="7" t="str">
        <f t="shared" ref="B1417:B1426" si="74">"0609"</f>
        <v>0609</v>
      </c>
      <c r="C1417" s="7" t="s">
        <v>69</v>
      </c>
      <c r="D1417" s="7" t="s">
        <v>63</v>
      </c>
      <c r="E1417" s="7" t="str">
        <f>"陈星琼"</f>
        <v>陈星琼</v>
      </c>
      <c r="F1417" s="7" t="s">
        <v>60</v>
      </c>
      <c r="G1417" s="7"/>
    </row>
    <row r="1418" ht="18" customHeight="1" spans="1:7">
      <c r="A1418" s="7">
        <v>1416</v>
      </c>
      <c r="B1418" s="7" t="str">
        <f t="shared" si="74"/>
        <v>0609</v>
      </c>
      <c r="C1418" s="7" t="s">
        <v>69</v>
      </c>
      <c r="D1418" s="7" t="s">
        <v>63</v>
      </c>
      <c r="E1418" s="7" t="str">
        <f>"李伶俐"</f>
        <v>李伶俐</v>
      </c>
      <c r="F1418" s="7" t="s">
        <v>60</v>
      </c>
      <c r="G1418" s="7"/>
    </row>
    <row r="1419" ht="18" customHeight="1" spans="1:7">
      <c r="A1419" s="7">
        <v>1417</v>
      </c>
      <c r="B1419" s="7" t="str">
        <f t="shared" si="74"/>
        <v>0609</v>
      </c>
      <c r="C1419" s="7" t="s">
        <v>69</v>
      </c>
      <c r="D1419" s="7" t="s">
        <v>63</v>
      </c>
      <c r="E1419" s="7" t="str">
        <f>"郭彩霞"</f>
        <v>郭彩霞</v>
      </c>
      <c r="F1419" s="7" t="s">
        <v>60</v>
      </c>
      <c r="G1419" s="7"/>
    </row>
    <row r="1420" ht="18" customHeight="1" spans="1:7">
      <c r="A1420" s="7">
        <v>1418</v>
      </c>
      <c r="B1420" s="7" t="str">
        <f t="shared" si="74"/>
        <v>0609</v>
      </c>
      <c r="C1420" s="7" t="s">
        <v>69</v>
      </c>
      <c r="D1420" s="7" t="s">
        <v>63</v>
      </c>
      <c r="E1420" s="7" t="str">
        <f>"徐旺"</f>
        <v>徐旺</v>
      </c>
      <c r="F1420" s="7" t="s">
        <v>60</v>
      </c>
      <c r="G1420" s="7"/>
    </row>
    <row r="1421" ht="18" customHeight="1" spans="1:7">
      <c r="A1421" s="7">
        <v>1419</v>
      </c>
      <c r="B1421" s="7" t="str">
        <f t="shared" si="74"/>
        <v>0609</v>
      </c>
      <c r="C1421" s="7" t="s">
        <v>69</v>
      </c>
      <c r="D1421" s="7" t="s">
        <v>63</v>
      </c>
      <c r="E1421" s="7" t="str">
        <f>"高阔"</f>
        <v>高阔</v>
      </c>
      <c r="F1421" s="7" t="s">
        <v>60</v>
      </c>
      <c r="G1421" s="7"/>
    </row>
    <row r="1422" ht="18" customHeight="1" spans="1:7">
      <c r="A1422" s="7">
        <v>1420</v>
      </c>
      <c r="B1422" s="7" t="str">
        <f t="shared" si="74"/>
        <v>0609</v>
      </c>
      <c r="C1422" s="7" t="s">
        <v>69</v>
      </c>
      <c r="D1422" s="7" t="s">
        <v>63</v>
      </c>
      <c r="E1422" s="7" t="str">
        <f>"苏培强"</f>
        <v>苏培强</v>
      </c>
      <c r="F1422" s="7" t="s">
        <v>60</v>
      </c>
      <c r="G1422" s="7"/>
    </row>
    <row r="1423" ht="18" customHeight="1" spans="1:7">
      <c r="A1423" s="7">
        <v>1421</v>
      </c>
      <c r="B1423" s="7" t="str">
        <f t="shared" si="74"/>
        <v>0609</v>
      </c>
      <c r="C1423" s="7" t="s">
        <v>69</v>
      </c>
      <c r="D1423" s="7" t="s">
        <v>63</v>
      </c>
      <c r="E1423" s="9" t="str">
        <f>"杨帆"</f>
        <v>杨帆</v>
      </c>
      <c r="F1423" s="7" t="s">
        <v>60</v>
      </c>
      <c r="G1423" s="7" t="str">
        <f>"310022"</f>
        <v>310022</v>
      </c>
    </row>
    <row r="1424" ht="18" customHeight="1" spans="1:7">
      <c r="A1424" s="7">
        <v>1422</v>
      </c>
      <c r="B1424" s="7" t="str">
        <f t="shared" si="74"/>
        <v>0609</v>
      </c>
      <c r="C1424" s="7" t="s">
        <v>69</v>
      </c>
      <c r="D1424" s="7" t="s">
        <v>63</v>
      </c>
      <c r="E1424" s="7" t="str">
        <f>"吴诗娜"</f>
        <v>吴诗娜</v>
      </c>
      <c r="F1424" s="7" t="s">
        <v>60</v>
      </c>
      <c r="G1424" s="7"/>
    </row>
    <row r="1425" ht="18" customHeight="1" spans="1:7">
      <c r="A1425" s="7">
        <v>1423</v>
      </c>
      <c r="B1425" s="7" t="str">
        <f t="shared" si="74"/>
        <v>0609</v>
      </c>
      <c r="C1425" s="7" t="s">
        <v>69</v>
      </c>
      <c r="D1425" s="7" t="s">
        <v>63</v>
      </c>
      <c r="E1425" s="7" t="str">
        <f>"钟克耀"</f>
        <v>钟克耀</v>
      </c>
      <c r="F1425" s="7" t="s">
        <v>60</v>
      </c>
      <c r="G1425" s="7"/>
    </row>
    <row r="1426" ht="18" customHeight="1" spans="1:7">
      <c r="A1426" s="7">
        <v>1424</v>
      </c>
      <c r="B1426" s="7" t="str">
        <f t="shared" si="74"/>
        <v>0609</v>
      </c>
      <c r="C1426" s="7" t="s">
        <v>69</v>
      </c>
      <c r="D1426" s="7" t="s">
        <v>63</v>
      </c>
      <c r="E1426" s="7" t="str">
        <f>"吴孟秋"</f>
        <v>吴孟秋</v>
      </c>
      <c r="F1426" s="7" t="s">
        <v>60</v>
      </c>
      <c r="G1426" s="7"/>
    </row>
    <row r="1427" ht="18" customHeight="1" spans="1:7">
      <c r="A1427" s="7">
        <v>1425</v>
      </c>
      <c r="B1427" s="7" t="str">
        <f t="shared" ref="B1427:B1438" si="75">"0610"</f>
        <v>0610</v>
      </c>
      <c r="C1427" s="7" t="s">
        <v>70</v>
      </c>
      <c r="D1427" s="7" t="s">
        <v>63</v>
      </c>
      <c r="E1427" s="7" t="str">
        <f>"韩萍"</f>
        <v>韩萍</v>
      </c>
      <c r="F1427" s="7" t="s">
        <v>60</v>
      </c>
      <c r="G1427" s="7"/>
    </row>
    <row r="1428" ht="18" customHeight="1" spans="1:7">
      <c r="A1428" s="7">
        <v>1426</v>
      </c>
      <c r="B1428" s="7" t="str">
        <f t="shared" si="75"/>
        <v>0610</v>
      </c>
      <c r="C1428" s="7" t="s">
        <v>70</v>
      </c>
      <c r="D1428" s="7" t="s">
        <v>63</v>
      </c>
      <c r="E1428" s="7" t="str">
        <f>"周莹"</f>
        <v>周莹</v>
      </c>
      <c r="F1428" s="7" t="s">
        <v>60</v>
      </c>
      <c r="G1428" s="7"/>
    </row>
    <row r="1429" ht="18" customHeight="1" spans="1:7">
      <c r="A1429" s="7">
        <v>1427</v>
      </c>
      <c r="B1429" s="7" t="str">
        <f t="shared" si="75"/>
        <v>0610</v>
      </c>
      <c r="C1429" s="7" t="s">
        <v>70</v>
      </c>
      <c r="D1429" s="7" t="s">
        <v>63</v>
      </c>
      <c r="E1429" s="7" t="str">
        <f>"符慧燕"</f>
        <v>符慧燕</v>
      </c>
      <c r="F1429" s="7" t="s">
        <v>60</v>
      </c>
      <c r="G1429" s="7"/>
    </row>
    <row r="1430" ht="18" customHeight="1" spans="1:7">
      <c r="A1430" s="7">
        <v>1428</v>
      </c>
      <c r="B1430" s="7" t="str">
        <f t="shared" si="75"/>
        <v>0610</v>
      </c>
      <c r="C1430" s="7" t="s">
        <v>70</v>
      </c>
      <c r="D1430" s="7" t="s">
        <v>63</v>
      </c>
      <c r="E1430" s="7" t="str">
        <f>"董景涛"</f>
        <v>董景涛</v>
      </c>
      <c r="F1430" s="7" t="s">
        <v>60</v>
      </c>
      <c r="G1430" s="7"/>
    </row>
    <row r="1431" ht="18" customHeight="1" spans="1:7">
      <c r="A1431" s="7">
        <v>1429</v>
      </c>
      <c r="B1431" s="7" t="str">
        <f t="shared" si="75"/>
        <v>0610</v>
      </c>
      <c r="C1431" s="7" t="s">
        <v>70</v>
      </c>
      <c r="D1431" s="7" t="s">
        <v>63</v>
      </c>
      <c r="E1431" s="7" t="str">
        <f>"吕建春"</f>
        <v>吕建春</v>
      </c>
      <c r="F1431" s="7" t="s">
        <v>60</v>
      </c>
      <c r="G1431" s="7"/>
    </row>
    <row r="1432" ht="18" customHeight="1" spans="1:7">
      <c r="A1432" s="7">
        <v>1430</v>
      </c>
      <c r="B1432" s="7" t="str">
        <f t="shared" si="75"/>
        <v>0610</v>
      </c>
      <c r="C1432" s="7" t="s">
        <v>70</v>
      </c>
      <c r="D1432" s="7" t="s">
        <v>63</v>
      </c>
      <c r="E1432" s="7" t="str">
        <f>"朱亦凡"</f>
        <v>朱亦凡</v>
      </c>
      <c r="F1432" s="7" t="s">
        <v>60</v>
      </c>
      <c r="G1432" s="7"/>
    </row>
    <row r="1433" ht="18" customHeight="1" spans="1:7">
      <c r="A1433" s="7">
        <v>1431</v>
      </c>
      <c r="B1433" s="7" t="str">
        <f t="shared" si="75"/>
        <v>0610</v>
      </c>
      <c r="C1433" s="7" t="s">
        <v>70</v>
      </c>
      <c r="D1433" s="7" t="s">
        <v>63</v>
      </c>
      <c r="E1433" s="7" t="str">
        <f>"陈柏君"</f>
        <v>陈柏君</v>
      </c>
      <c r="F1433" s="7" t="s">
        <v>60</v>
      </c>
      <c r="G1433" s="7"/>
    </row>
    <row r="1434" ht="18" customHeight="1" spans="1:7">
      <c r="A1434" s="7">
        <v>1432</v>
      </c>
      <c r="B1434" s="7" t="str">
        <f t="shared" si="75"/>
        <v>0610</v>
      </c>
      <c r="C1434" s="7" t="s">
        <v>70</v>
      </c>
      <c r="D1434" s="7" t="s">
        <v>63</v>
      </c>
      <c r="E1434" s="7" t="str">
        <f>"陈编"</f>
        <v>陈编</v>
      </c>
      <c r="F1434" s="7" t="s">
        <v>60</v>
      </c>
      <c r="G1434" s="7"/>
    </row>
    <row r="1435" ht="18" customHeight="1" spans="1:7">
      <c r="A1435" s="7">
        <v>1433</v>
      </c>
      <c r="B1435" s="7" t="str">
        <f t="shared" si="75"/>
        <v>0610</v>
      </c>
      <c r="C1435" s="7" t="s">
        <v>70</v>
      </c>
      <c r="D1435" s="7" t="s">
        <v>63</v>
      </c>
      <c r="E1435" s="7" t="str">
        <f>"陈法"</f>
        <v>陈法</v>
      </c>
      <c r="F1435" s="7" t="s">
        <v>60</v>
      </c>
      <c r="G1435" s="7"/>
    </row>
    <row r="1436" ht="18" customHeight="1" spans="1:7">
      <c r="A1436" s="7">
        <v>1434</v>
      </c>
      <c r="B1436" s="7" t="str">
        <f t="shared" si="75"/>
        <v>0610</v>
      </c>
      <c r="C1436" s="7" t="s">
        <v>70</v>
      </c>
      <c r="D1436" s="7" t="s">
        <v>63</v>
      </c>
      <c r="E1436" s="7" t="str">
        <f>"马恺恺"</f>
        <v>马恺恺</v>
      </c>
      <c r="F1436" s="7" t="s">
        <v>60</v>
      </c>
      <c r="G1436" s="7"/>
    </row>
    <row r="1437" ht="18" customHeight="1" spans="1:7">
      <c r="A1437" s="7">
        <v>1435</v>
      </c>
      <c r="B1437" s="7" t="str">
        <f t="shared" si="75"/>
        <v>0610</v>
      </c>
      <c r="C1437" s="7" t="s">
        <v>70</v>
      </c>
      <c r="D1437" s="7" t="s">
        <v>63</v>
      </c>
      <c r="E1437" s="7" t="str">
        <f>"姚玉文"</f>
        <v>姚玉文</v>
      </c>
      <c r="F1437" s="7" t="s">
        <v>60</v>
      </c>
      <c r="G1437" s="7"/>
    </row>
    <row r="1438" ht="18" customHeight="1" spans="1:7">
      <c r="A1438" s="7">
        <v>1436</v>
      </c>
      <c r="B1438" s="7" t="str">
        <f t="shared" si="75"/>
        <v>0610</v>
      </c>
      <c r="C1438" s="7" t="s">
        <v>70</v>
      </c>
      <c r="D1438" s="7" t="s">
        <v>63</v>
      </c>
      <c r="E1438" s="7" t="str">
        <f>"张国瑞"</f>
        <v>张国瑞</v>
      </c>
      <c r="F1438" s="7" t="s">
        <v>60</v>
      </c>
      <c r="G1438" s="7"/>
    </row>
    <row r="1439" ht="18" customHeight="1" spans="1:7">
      <c r="A1439" s="7">
        <v>1437</v>
      </c>
      <c r="B1439" s="7" t="str">
        <f>"0611"</f>
        <v>0611</v>
      </c>
      <c r="C1439" s="7" t="s">
        <v>71</v>
      </c>
      <c r="D1439" s="7" t="s">
        <v>63</v>
      </c>
      <c r="E1439" s="7" t="str">
        <f>"王佳莹"</f>
        <v>王佳莹</v>
      </c>
      <c r="F1439" s="7" t="s">
        <v>60</v>
      </c>
      <c r="G1439" s="7"/>
    </row>
    <row r="1440" ht="18" customHeight="1" spans="1:7">
      <c r="A1440" s="7">
        <v>1438</v>
      </c>
      <c r="B1440" s="7" t="str">
        <f>"0611"</f>
        <v>0611</v>
      </c>
      <c r="C1440" s="7" t="s">
        <v>71</v>
      </c>
      <c r="D1440" s="7" t="s">
        <v>63</v>
      </c>
      <c r="E1440" s="7" t="str">
        <f>"黄一伦"</f>
        <v>黄一伦</v>
      </c>
      <c r="F1440" s="7" t="s">
        <v>60</v>
      </c>
      <c r="G1440" s="7"/>
    </row>
    <row r="1441" ht="18" customHeight="1" spans="1:7">
      <c r="A1441" s="7">
        <v>1439</v>
      </c>
      <c r="B1441" s="7" t="str">
        <f>"0611"</f>
        <v>0611</v>
      </c>
      <c r="C1441" s="7" t="s">
        <v>71</v>
      </c>
      <c r="D1441" s="7" t="s">
        <v>63</v>
      </c>
      <c r="E1441" s="7" t="str">
        <f>"张宇琪"</f>
        <v>张宇琪</v>
      </c>
      <c r="F1441" s="7" t="s">
        <v>60</v>
      </c>
      <c r="G1441" s="7"/>
    </row>
  </sheetData>
  <sheetProtection password="C705" sheet="1" formatCells="0" formatColumns="0" formatRows="0" insertRows="0" insertColumns="0" insertHyperlinks="0" deleteColumns="0" deleteRows="0" sort="0" autoFilter="0" pivotTables="0" objects="1"/>
  <autoFilter ref="A2:G1441">
    <extLst/>
  </autoFilter>
  <mergeCells count="1">
    <mergeCell ref="A1:G1"/>
  </mergeCells>
  <conditionalFormatting sqref="J2">
    <cfRule type="duplicateValues" dxfId="0" priority="2"/>
  </conditionalFormatting>
  <conditionalFormatting sqref="E1:E111 E1424:E655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享宝</cp:lastModifiedBy>
  <dcterms:created xsi:type="dcterms:W3CDTF">2023-03-08T02:31:00Z</dcterms:created>
  <dcterms:modified xsi:type="dcterms:W3CDTF">2024-05-10T01:18:48Z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B4700442D9FC4640AD48AB896CE8A2DA</vt:lpwstr>
  </property>
  <property fmtid="{D5CDD505-2E9C-101B-9397-08002B2CF9AE}" pid="3" name="KSOProductBuildVer">
    <vt:lpwstr>2052-12.1.0.16729</vt:lpwstr>
  </property>
</Properties>
</file>